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autoCompressPictures="0"/>
  <mc:AlternateContent xmlns:mc="http://schemas.openxmlformats.org/markup-compatibility/2006">
    <mc:Choice Requires="x15">
      <x15ac:absPath xmlns:x15ac="http://schemas.microsoft.com/office/spreadsheetml/2010/11/ac" url="C:\Users\bruger\Desktop\"/>
    </mc:Choice>
  </mc:AlternateContent>
  <xr:revisionPtr revIDLastSave="0" documentId="13_ncr:1_{17551547-4C98-4E93-9051-7FD37E8C08A9}" xr6:coauthVersionLast="47" xr6:coauthVersionMax="47" xr10:uidLastSave="{00000000-0000-0000-0000-000000000000}"/>
  <bookViews>
    <workbookView xWindow="768" yWindow="768" windowWidth="23040" windowHeight="1356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1'!$A$1:$I$27</definedName>
    <definedName name="_xlnm.Print_Area" localSheetId="12">'Generelle satser'!$A$1:$H$115</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ledere'!$A$1:$I$176</definedName>
    <definedName name="_xlnm.Print_Area" localSheetId="14">'Løntabel gældende fra'!$A$1:$G$35</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S21" i="1" l="1"/>
  <c r="S22" i="1"/>
  <c r="S23" i="1"/>
  <c r="T22" i="1"/>
  <c r="T21" i="1"/>
  <c r="T20" i="1"/>
  <c r="L23" i="1"/>
  <c r="L22" i="1"/>
  <c r="L21" i="1"/>
  <c r="M22" i="1"/>
  <c r="M21" i="1"/>
  <c r="M20" i="1"/>
  <c r="W23" i="1" l="1"/>
  <c r="X23" i="1" s="1"/>
  <c r="P23" i="1"/>
  <c r="Q23" i="1" s="1"/>
  <c r="R23" i="1" s="1"/>
  <c r="W22" i="1"/>
  <c r="X22" i="1" s="1" a="1"/>
  <c r="X22" i="1" s="1"/>
  <c r="P22" i="1"/>
  <c r="W21" i="1"/>
  <c r="X21" i="1" s="1" a="1"/>
  <c r="X21" i="1" s="1"/>
  <c r="P21" i="1"/>
  <c r="W20" i="1"/>
  <c r="X20" i="1" s="1"/>
  <c r="P20" i="1"/>
  <c r="Q20" i="1" s="1"/>
  <c r="R20" i="1" s="1"/>
  <c r="W19" i="1"/>
  <c r="P19" i="1"/>
  <c r="H118" i="1"/>
  <c r="H117" i="1"/>
  <c r="H116" i="1"/>
  <c r="H115" i="1"/>
  <c r="H114" i="1"/>
  <c r="H111"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X24" i="1" l="1"/>
  <c r="X25" i="1" s="1"/>
  <c r="F30" i="1" s="1"/>
  <c r="Q21" i="1" a="1"/>
  <c r="Q21" i="1" s="1"/>
  <c r="Q22" i="1" a="1"/>
  <c r="Q22" i="1" s="1"/>
  <c r="R22" i="1" s="1"/>
  <c r="C21" i="13"/>
  <c r="E13" i="13"/>
  <c r="Q24" i="1" l="1"/>
  <c r="Q25" i="1" s="1"/>
  <c r="C30" i="1" s="1"/>
  <c r="R21" i="1"/>
  <c r="R24" i="1" s="1"/>
  <c r="R25" i="1" s="1"/>
  <c r="F22" i="33"/>
  <c r="G97" i="20"/>
  <c r="F63" i="20"/>
  <c r="H63" i="20" s="1"/>
  <c r="H62" i="20"/>
  <c r="F62" i="20" s="1"/>
  <c r="F78" i="20" l="1"/>
  <c r="H78" i="20" s="1"/>
  <c r="F77" i="20"/>
  <c r="H77" i="20" s="1"/>
  <c r="F76" i="20"/>
  <c r="H76" i="20" s="1"/>
  <c r="F74" i="20"/>
  <c r="F75" i="20"/>
  <c r="H75" i="20" s="1"/>
  <c r="H74" i="20"/>
  <c r="F55" i="20" l="1"/>
  <c r="F69" i="20" l="1"/>
  <c r="H69" i="20" s="1"/>
  <c r="H68" i="20"/>
  <c r="F68" i="20" s="1"/>
  <c r="G57" i="20"/>
  <c r="F57" i="20"/>
  <c r="H57" i="20" s="1"/>
  <c r="G49" i="20"/>
  <c r="F49" i="20"/>
  <c r="H49" i="20" s="1"/>
  <c r="A27" i="11"/>
  <c r="I92" i="1" l="1"/>
  <c r="I93" i="1"/>
  <c r="I84" i="1" l="1"/>
  <c r="I83" i="1"/>
  <c r="J41" i="34"/>
  <c r="J32" i="34"/>
  <c r="J21" i="34"/>
  <c r="F21" i="33"/>
  <c r="F56" i="20"/>
  <c r="H56" i="20" s="1"/>
  <c r="H55" i="20"/>
  <c r="E88" i="35"/>
  <c r="E95" i="35" s="1"/>
  <c r="E51" i="35"/>
  <c r="F26" i="35"/>
  <c r="H87" i="20"/>
  <c r="H84" i="20"/>
  <c r="H57"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E99" i="35" s="1"/>
  <c r="C98" i="35"/>
  <c r="D98" i="35" s="1"/>
  <c r="E98" i="35" s="1"/>
  <c r="C91" i="35"/>
  <c r="D91" i="35" s="1"/>
  <c r="E91" i="35" s="1"/>
  <c r="G85" i="35"/>
  <c r="E85" i="35"/>
  <c r="G84" i="35"/>
  <c r="E84" i="35"/>
  <c r="E62" i="35"/>
  <c r="C54" i="35"/>
  <c r="E54" i="35" s="1"/>
  <c r="E43" i="35"/>
  <c r="F43" i="35" s="1"/>
  <c r="G43" i="35" s="1"/>
  <c r="E44" i="35"/>
  <c r="F44" i="35" s="1"/>
  <c r="G44" i="35" s="1"/>
  <c r="E45" i="35"/>
  <c r="F45" i="35" s="1"/>
  <c r="G45" i="35" s="1"/>
  <c r="E46" i="35"/>
  <c r="F46" i="35" s="1"/>
  <c r="G46" i="35" s="1"/>
  <c r="E47" i="35"/>
  <c r="F47" i="35" s="1"/>
  <c r="G47" i="35" s="1"/>
  <c r="E42" i="35"/>
  <c r="F42" i="35" s="1"/>
  <c r="G42"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H113" i="1"/>
  <c r="H112" i="1"/>
  <c r="G105" i="1"/>
  <c r="G104" i="1"/>
  <c r="G101" i="1"/>
  <c r="G100" i="1"/>
  <c r="F105" i="1"/>
  <c r="F104" i="1"/>
  <c r="F101" i="1"/>
  <c r="F100" i="1"/>
  <c r="I91" i="1"/>
  <c r="I90" i="1"/>
  <c r="I78" i="1"/>
  <c r="H72" i="1"/>
  <c r="I72" i="1" s="1"/>
  <c r="D66" i="1"/>
  <c r="F66" i="1" s="1"/>
  <c r="D65" i="1"/>
  <c r="F65" i="1" s="1"/>
  <c r="D64" i="1"/>
  <c r="F64" i="1" s="1"/>
  <c r="D63" i="1"/>
  <c r="F63" i="1" s="1"/>
  <c r="D57" i="1"/>
  <c r="F57" i="1" s="1"/>
  <c r="D56" i="1"/>
  <c r="F56" i="1" s="1"/>
  <c r="D55" i="1"/>
  <c r="F55" i="1" s="1"/>
  <c r="D54" i="1"/>
  <c r="F54" i="1" s="1"/>
  <c r="D48" i="1"/>
  <c r="F48" i="1" s="1"/>
  <c r="D47" i="1"/>
  <c r="F47" i="1" s="1"/>
  <c r="D46" i="1"/>
  <c r="F46" i="1" s="1"/>
  <c r="H23" i="1"/>
  <c r="H22" i="1"/>
  <c r="H21" i="1"/>
  <c r="H20" i="1"/>
  <c r="E23" i="1"/>
  <c r="E22" i="1"/>
  <c r="E21" i="1"/>
  <c r="E20" i="1"/>
  <c r="E24" i="11"/>
  <c r="E23" i="11"/>
  <c r="E22" i="11"/>
  <c r="F36" i="33" l="1"/>
  <c r="F35" i="33"/>
  <c r="F29" i="11"/>
  <c r="H29" i="11"/>
  <c r="H63" i="11" l="1"/>
  <c r="H62" i="11"/>
  <c r="H61" i="11"/>
  <c r="H60" i="11"/>
  <c r="H58" i="11"/>
  <c r="H56" i="11"/>
  <c r="D29" i="13" l="1"/>
  <c r="C29" i="13"/>
  <c r="C23" i="13"/>
  <c r="C22" i="13"/>
  <c r="D21" i="13"/>
  <c r="C65" i="34" l="1"/>
  <c r="F65" i="34" s="1"/>
  <c r="I58" i="34"/>
  <c r="E65" i="34" s="1"/>
  <c r="H65" i="34" s="1"/>
  <c r="I51" i="34"/>
  <c r="D65" i="34" l="1"/>
  <c r="G65" i="34" s="1"/>
  <c r="E21" i="13" l="1"/>
  <c r="F13" i="13"/>
  <c r="F28" i="33"/>
  <c r="F62" i="1"/>
  <c r="D62" i="1"/>
  <c r="B156" i="1"/>
  <c r="F156" i="1" s="1"/>
  <c r="B155" i="1"/>
  <c r="F155" i="1" s="1"/>
  <c r="B154" i="1"/>
  <c r="F154" i="1" s="1"/>
  <c r="B153" i="1"/>
  <c r="F153" i="1" s="1"/>
  <c r="B129" i="1"/>
  <c r="F129" i="1" s="1"/>
  <c r="B128" i="1"/>
  <c r="F128" i="1" s="1"/>
  <c r="B127" i="1"/>
  <c r="F127" i="1" s="1"/>
  <c r="B126" i="1"/>
  <c r="F126" i="1" s="1"/>
  <c r="O45" i="10"/>
  <c r="O46" i="10" s="1"/>
  <c r="O54" i="10"/>
  <c r="O55" i="10" s="1"/>
  <c r="O63" i="10"/>
  <c r="O64" i="10" s="1"/>
  <c r="G24" i="34" s="1"/>
  <c r="J24" i="34" s="1"/>
  <c r="C76" i="35"/>
  <c r="D76" i="35" s="1"/>
  <c r="E76" i="35" s="1"/>
  <c r="F98" i="1"/>
  <c r="F102"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3" i="1"/>
  <c r="D53" i="1"/>
  <c r="A30"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4"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N143" i="10"/>
  <c r="M143" i="10"/>
  <c r="L141" i="10"/>
  <c r="L142" i="10" s="1"/>
  <c r="K142" i="10"/>
  <c r="K143" i="10" s="1"/>
  <c r="J141" i="10"/>
  <c r="J142" i="10" s="1"/>
  <c r="I142" i="10"/>
  <c r="I143" i="10" s="1"/>
  <c r="H141" i="10"/>
  <c r="H142" i="10" s="1"/>
  <c r="G142" i="10"/>
  <c r="G143" i="10" s="1"/>
  <c r="F141" i="10"/>
  <c r="F142" i="10" s="1"/>
  <c r="D141" i="10"/>
  <c r="D142"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N137" i="10"/>
  <c r="M137" i="10"/>
  <c r="L135" i="10"/>
  <c r="L136" i="10" s="1"/>
  <c r="K136" i="10"/>
  <c r="K137" i="10" s="1"/>
  <c r="J135" i="10"/>
  <c r="J136" i="10" s="1"/>
  <c r="I136" i="10"/>
  <c r="I137" i="10" s="1"/>
  <c r="H135" i="10"/>
  <c r="H136" i="10" s="1"/>
  <c r="G136" i="10"/>
  <c r="G137" i="10" s="1"/>
  <c r="F135" i="10"/>
  <c r="F136" i="10" s="1"/>
  <c r="D135" i="10"/>
  <c r="D136" i="10" s="1"/>
  <c r="O132" i="10"/>
  <c r="O133" i="10" s="1"/>
  <c r="G40" i="20" s="1"/>
  <c r="N134" i="10"/>
  <c r="M134" i="10"/>
  <c r="L132" i="10"/>
  <c r="L133" i="10" s="1"/>
  <c r="F40" i="20" s="1"/>
  <c r="K133" i="10"/>
  <c r="K134" i="10" s="1"/>
  <c r="J132" i="10"/>
  <c r="J133" i="10" s="1"/>
  <c r="E40" i="20" s="1"/>
  <c r="I133" i="10"/>
  <c r="I134" i="10" s="1"/>
  <c r="H132" i="10"/>
  <c r="H133" i="10" s="1"/>
  <c r="D40" i="20" s="1"/>
  <c r="G133" i="10"/>
  <c r="G134" i="10" s="1"/>
  <c r="F132" i="10"/>
  <c r="F133" i="10" s="1"/>
  <c r="C40" i="20" s="1"/>
  <c r="D132" i="10"/>
  <c r="D133" i="10" s="1"/>
  <c r="B40" i="20" s="1"/>
  <c r="O129" i="10"/>
  <c r="O130" i="10" s="1"/>
  <c r="N131" i="10"/>
  <c r="M131" i="10"/>
  <c r="L129" i="10"/>
  <c r="L130" i="10" s="1"/>
  <c r="F36" i="20" s="1"/>
  <c r="K130" i="10"/>
  <c r="K131" i="10" s="1"/>
  <c r="J129" i="10"/>
  <c r="J130" i="10" s="1"/>
  <c r="I130" i="10"/>
  <c r="I131" i="10" s="1"/>
  <c r="H129" i="10"/>
  <c r="H130" i="10" s="1"/>
  <c r="D36" i="20" s="1"/>
  <c r="G130" i="10"/>
  <c r="G131" i="10" s="1"/>
  <c r="F129" i="10"/>
  <c r="F130" i="10" s="1"/>
  <c r="D129" i="10"/>
  <c r="D130" i="10" s="1"/>
  <c r="B36" i="20" s="1"/>
  <c r="O126" i="10"/>
  <c r="O127" i="10" s="1"/>
  <c r="N128" i="10"/>
  <c r="M128" i="10"/>
  <c r="L126" i="10"/>
  <c r="L127" i="10" s="1"/>
  <c r="K127" i="10"/>
  <c r="K128" i="10" s="1"/>
  <c r="J126" i="10"/>
  <c r="J127" i="10" s="1"/>
  <c r="I127" i="10"/>
  <c r="I128" i="10" s="1"/>
  <c r="H126" i="10"/>
  <c r="H127" i="10" s="1"/>
  <c r="G127" i="10"/>
  <c r="G128" i="10" s="1"/>
  <c r="F126" i="10"/>
  <c r="F127" i="10" s="1"/>
  <c r="D126" i="10"/>
  <c r="D127"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H74"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5" i="1"/>
  <c r="E175" i="1" s="1"/>
  <c r="C174" i="1"/>
  <c r="E174" i="1" s="1"/>
  <c r="C173" i="1"/>
  <c r="C172" i="1"/>
  <c r="E172" i="1" s="1"/>
  <c r="C171" i="1"/>
  <c r="C167" i="1"/>
  <c r="F167" i="1" s="1"/>
  <c r="G167" i="1" s="1"/>
  <c r="H167" i="1" s="1"/>
  <c r="C169" i="1"/>
  <c r="C168" i="1"/>
  <c r="C166" i="1"/>
  <c r="E166" i="1" s="1"/>
  <c r="C165" i="1"/>
  <c r="E165" i="1" s="1"/>
  <c r="C164" i="1"/>
  <c r="C163" i="1"/>
  <c r="C162" i="1"/>
  <c r="C161" i="1"/>
  <c r="E161" i="1" s="1"/>
  <c r="C135" i="1"/>
  <c r="E135" i="1" s="1"/>
  <c r="C147" i="1"/>
  <c r="E147" i="1" s="1"/>
  <c r="C146" i="1"/>
  <c r="C141" i="1"/>
  <c r="C140" i="1"/>
  <c r="F140" i="1" s="1"/>
  <c r="G140" i="1" s="1"/>
  <c r="H140" i="1" s="1"/>
  <c r="C139" i="1"/>
  <c r="C143" i="1" s="1"/>
  <c r="C138" i="1"/>
  <c r="E138" i="1" s="1"/>
  <c r="C137" i="1"/>
  <c r="E137" i="1" s="1"/>
  <c r="C136" i="1"/>
  <c r="C134" i="1"/>
  <c r="E134"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I30" i="1"/>
  <c r="H30" i="1"/>
  <c r="G30" i="1"/>
  <c r="E30" i="1"/>
  <c r="D30" i="1"/>
  <c r="H110" i="1"/>
  <c r="A52" i="13"/>
  <c r="E38" i="13"/>
  <c r="E37" i="13"/>
  <c r="F24" i="13"/>
  <c r="E22" i="13"/>
  <c r="F12" i="13"/>
  <c r="E12" i="13"/>
  <c r="F11" i="13"/>
  <c r="E11" i="13"/>
  <c r="F10" i="13"/>
  <c r="A122" i="1"/>
  <c r="D102"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3" i="1"/>
  <c r="B62" i="1" s="1"/>
  <c r="H89" i="1"/>
  <c r="H71" i="1"/>
  <c r="G71" i="1"/>
  <c r="H77" i="1"/>
  <c r="H83" i="1" s="1"/>
  <c r="H19" i="1"/>
  <c r="H9" i="1"/>
  <c r="I71" i="1"/>
  <c r="F45" i="1"/>
  <c r="E21" i="11"/>
  <c r="A149" i="1"/>
  <c r="F159" i="1"/>
  <c r="F132" i="1"/>
  <c r="I77" i="1"/>
  <c r="I89" i="1"/>
  <c r="D45" i="1"/>
  <c r="B45" i="1"/>
  <c r="E19" i="1"/>
  <c r="D9" i="1"/>
  <c r="G9" i="1"/>
  <c r="E9" i="1"/>
  <c r="H9" i="11"/>
  <c r="F9" i="11"/>
  <c r="D9" i="11"/>
  <c r="B9" i="11"/>
  <c r="O80" i="10"/>
  <c r="D47" i="10"/>
  <c r="H92" i="10"/>
  <c r="O59" i="10"/>
  <c r="E22" i="20"/>
  <c r="E19" i="20"/>
  <c r="O116" i="10"/>
  <c r="F116" i="10"/>
  <c r="O65" i="10"/>
  <c r="G11" i="32"/>
  <c r="I11" i="32" s="1"/>
  <c r="G14" i="20"/>
  <c r="H14" i="20" s="1"/>
  <c r="C22" i="20"/>
  <c r="F89" i="10"/>
  <c r="D17" i="20" l="1"/>
  <c r="H56" i="10"/>
  <c r="D23" i="20"/>
  <c r="D128" i="10"/>
  <c r="B35" i="20"/>
  <c r="E45" i="34"/>
  <c r="E36" i="20"/>
  <c r="L137" i="10"/>
  <c r="F41" i="20"/>
  <c r="F143" i="10"/>
  <c r="C42" i="20"/>
  <c r="F128" i="10"/>
  <c r="C35" i="20"/>
  <c r="D137" i="10"/>
  <c r="B41" i="20"/>
  <c r="O143" i="10"/>
  <c r="G42" i="20"/>
  <c r="H42" i="20" s="1"/>
  <c r="G11" i="24"/>
  <c r="J11" i="24" s="1"/>
  <c r="H11" i="24" s="1"/>
  <c r="G12" i="33"/>
  <c r="J12" i="33" s="1"/>
  <c r="H12" i="33" s="1"/>
  <c r="O128" i="10"/>
  <c r="G35" i="20"/>
  <c r="H35" i="20" s="1"/>
  <c r="F137" i="10"/>
  <c r="C41" i="20"/>
  <c r="H143" i="10"/>
  <c r="D42" i="20"/>
  <c r="G16" i="34"/>
  <c r="J16" i="34" s="1"/>
  <c r="H16" i="34" s="1"/>
  <c r="G10" i="33"/>
  <c r="J10" i="33" s="1"/>
  <c r="H10" i="33" s="1"/>
  <c r="H128" i="10"/>
  <c r="D35" i="20"/>
  <c r="G41" i="20"/>
  <c r="C45" i="34"/>
  <c r="C36" i="20"/>
  <c r="H137" i="10"/>
  <c r="D41" i="20"/>
  <c r="J143" i="10"/>
  <c r="E42" i="20"/>
  <c r="J128" i="10"/>
  <c r="E35" i="20"/>
  <c r="O131" i="10"/>
  <c r="G36" i="20"/>
  <c r="H36" i="20" s="1"/>
  <c r="J137" i="10"/>
  <c r="E41" i="20"/>
  <c r="L143" i="10"/>
  <c r="F42" i="20"/>
  <c r="L128" i="10"/>
  <c r="F35" i="20"/>
  <c r="D143" i="10"/>
  <c r="B42" i="20"/>
  <c r="F44" i="34"/>
  <c r="F34" i="20"/>
  <c r="B44" i="34"/>
  <c r="B34" i="20"/>
  <c r="C44" i="34"/>
  <c r="C34" i="20"/>
  <c r="G44" i="34"/>
  <c r="J44" i="34" s="1"/>
  <c r="H44" i="34" s="1"/>
  <c r="G34" i="20"/>
  <c r="H34" i="20" s="1"/>
  <c r="D44" i="34"/>
  <c r="D34" i="20"/>
  <c r="G8" i="20"/>
  <c r="H8" i="20" s="1"/>
  <c r="E32" i="20"/>
  <c r="F161" i="1"/>
  <c r="G161" i="1" s="1"/>
  <c r="H161" i="1" s="1"/>
  <c r="O122" i="10"/>
  <c r="H122" i="10"/>
  <c r="J122" i="10"/>
  <c r="D122" i="10"/>
  <c r="F12" i="20"/>
  <c r="L122" i="10"/>
  <c r="F122" i="10"/>
  <c r="C142" i="1"/>
  <c r="F142" i="1" s="1"/>
  <c r="G142" i="1" s="1"/>
  <c r="H142" i="1" s="1"/>
  <c r="F43" i="20"/>
  <c r="F31" i="20"/>
  <c r="D125" i="10"/>
  <c r="F23" i="20"/>
  <c r="L92" i="10"/>
  <c r="J131" i="10"/>
  <c r="O47" i="10"/>
  <c r="E143" i="1"/>
  <c r="F143" i="1"/>
  <c r="G143" i="1" s="1"/>
  <c r="H143" i="1" s="1"/>
  <c r="F173" i="1"/>
  <c r="G173" i="1" s="1"/>
  <c r="H173" i="1" s="1"/>
  <c r="E173" i="1"/>
  <c r="F146" i="1"/>
  <c r="G146" i="1" s="1"/>
  <c r="H146" i="1" s="1"/>
  <c r="E146" i="1"/>
  <c r="F168" i="1"/>
  <c r="G168" i="1" s="1"/>
  <c r="H168" i="1" s="1"/>
  <c r="E168" i="1"/>
  <c r="F169" i="1"/>
  <c r="G169" i="1" s="1"/>
  <c r="H169" i="1" s="1"/>
  <c r="E169" i="1"/>
  <c r="C170" i="1"/>
  <c r="E170" i="1" s="1"/>
  <c r="E167" i="1"/>
  <c r="F147" i="1"/>
  <c r="G147" i="1" s="1"/>
  <c r="H147" i="1" s="1"/>
  <c r="F137" i="1"/>
  <c r="G137" i="1" s="1"/>
  <c r="H137" i="1" s="1"/>
  <c r="F162" i="1"/>
  <c r="G162" i="1" s="1"/>
  <c r="H162" i="1" s="1"/>
  <c r="E162" i="1"/>
  <c r="F171" i="1"/>
  <c r="G171" i="1" s="1"/>
  <c r="H171" i="1" s="1"/>
  <c r="E171" i="1"/>
  <c r="C145" i="1"/>
  <c r="E145" i="1" s="1"/>
  <c r="E141" i="1"/>
  <c r="F136" i="1"/>
  <c r="G136" i="1" s="1"/>
  <c r="H136" i="1" s="1"/>
  <c r="E136" i="1"/>
  <c r="F165" i="1"/>
  <c r="G165" i="1" s="1"/>
  <c r="H165" i="1" s="1"/>
  <c r="F139" i="1"/>
  <c r="G139" i="1" s="1"/>
  <c r="H139" i="1" s="1"/>
  <c r="E139" i="1"/>
  <c r="F163" i="1"/>
  <c r="G163" i="1" s="1"/>
  <c r="H163" i="1" s="1"/>
  <c r="E163" i="1"/>
  <c r="F172" i="1"/>
  <c r="G172" i="1" s="1"/>
  <c r="H172" i="1" s="1"/>
  <c r="C144" i="1"/>
  <c r="E144" i="1" s="1"/>
  <c r="E140" i="1"/>
  <c r="F164" i="1"/>
  <c r="G164" i="1" s="1"/>
  <c r="H164" i="1" s="1"/>
  <c r="E164"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5" i="1"/>
  <c r="G135" i="1" s="1"/>
  <c r="H135" i="1" s="1"/>
  <c r="F62" i="10"/>
  <c r="F166" i="1"/>
  <c r="G166" i="1" s="1"/>
  <c r="H166" i="1" s="1"/>
  <c r="C14" i="33"/>
  <c r="C15" i="33" s="1"/>
  <c r="F138" i="1"/>
  <c r="G138" i="1" s="1"/>
  <c r="H138"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45" i="34"/>
  <c r="F47" i="10"/>
  <c r="C16" i="34"/>
  <c r="G18" i="20"/>
  <c r="H18" i="20" s="1"/>
  <c r="G26" i="34"/>
  <c r="J26" i="34" s="1"/>
  <c r="H41" i="10"/>
  <c r="D14" i="34"/>
  <c r="D12" i="33"/>
  <c r="D13" i="33" s="1"/>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1" i="1"/>
  <c r="G141" i="1" s="1"/>
  <c r="H141" i="1" s="1"/>
  <c r="E26" i="20"/>
  <c r="B10" i="33"/>
  <c r="B11" i="33" s="1"/>
  <c r="L62" i="10"/>
  <c r="D31" i="20"/>
  <c r="D95" i="10"/>
  <c r="D131" i="10"/>
  <c r="O137" i="10"/>
  <c r="F134" i="1"/>
  <c r="G134" i="1" s="1"/>
  <c r="H134" i="1" s="1"/>
  <c r="D26" i="20"/>
  <c r="E28" i="20"/>
  <c r="F26" i="20"/>
  <c r="D53" i="10"/>
  <c r="D59" i="10"/>
  <c r="O95" i="10"/>
  <c r="C9" i="32"/>
  <c r="C17" i="32" s="1"/>
  <c r="C11" i="32"/>
  <c r="L131" i="10"/>
  <c r="E21" i="20"/>
  <c r="D14" i="33"/>
  <c r="D15" i="33" s="1"/>
  <c r="D71" i="10"/>
  <c r="L71" i="10"/>
  <c r="D119" i="10"/>
  <c r="D149" i="10"/>
  <c r="F175" i="1"/>
  <c r="G175" i="1" s="1"/>
  <c r="H175" i="1" s="1"/>
  <c r="E20" i="20"/>
  <c r="F28" i="20"/>
  <c r="D10" i="24"/>
  <c r="D18" i="24" s="1"/>
  <c r="E34" i="11"/>
  <c r="F34" i="11" s="1"/>
  <c r="B11" i="20"/>
  <c r="B12" i="33"/>
  <c r="B13" i="33" s="1"/>
  <c r="B10" i="32"/>
  <c r="D56" i="10"/>
  <c r="B11" i="24"/>
  <c r="B28" i="20"/>
  <c r="D107" i="10"/>
  <c r="B25" i="20"/>
  <c r="D98" i="10"/>
  <c r="L104" i="10"/>
  <c r="F27" i="20"/>
  <c r="D110" i="10"/>
  <c r="B29" i="20"/>
  <c r="G9" i="20"/>
  <c r="H9" i="20" s="1"/>
  <c r="O50" i="10"/>
  <c r="B17" i="20"/>
  <c r="D74" i="10"/>
  <c r="F15" i="20"/>
  <c r="L68" i="10"/>
  <c r="F14" i="33"/>
  <c r="F15" i="33" s="1"/>
  <c r="F131" i="10"/>
  <c r="F10" i="32"/>
  <c r="F12" i="33"/>
  <c r="F13" i="33" s="1"/>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E13" i="33" s="1"/>
  <c r="J56" i="10"/>
  <c r="E9" i="32"/>
  <c r="E17" i="32" s="1"/>
  <c r="E10" i="33"/>
  <c r="E11" i="33" s="1"/>
  <c r="G29" i="20"/>
  <c r="H29" i="20" s="1"/>
  <c r="O110" i="10"/>
  <c r="G23" i="20"/>
  <c r="H23" i="20" s="1"/>
  <c r="O92" i="10"/>
  <c r="B20" i="20"/>
  <c r="F68" i="10"/>
  <c r="C16" i="20"/>
  <c r="J59" i="10"/>
  <c r="H149" i="10"/>
  <c r="C12" i="33"/>
  <c r="C13" i="33" s="1"/>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2" i="1"/>
  <c r="F174" i="1"/>
  <c r="G174" i="1" s="1"/>
  <c r="H174"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4" i="11"/>
  <c r="H34" i="11" s="1"/>
  <c r="I16" i="34" l="1"/>
  <c r="I10" i="24"/>
  <c r="E142" i="1"/>
  <c r="F170" i="1"/>
  <c r="G170" i="1" s="1"/>
  <c r="H170" i="1" s="1"/>
  <c r="F144" i="1"/>
  <c r="G144" i="1" s="1"/>
  <c r="H144" i="1" s="1"/>
  <c r="I12" i="33"/>
  <c r="F145" i="1"/>
  <c r="G145" i="1" s="1"/>
  <c r="H145"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<sst xmlns="http://schemas.openxmlformats.org/spreadsheetml/2006/main" count="1294" uniqueCount="572">
  <si>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</si>
  <si>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</si>
  <si>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</si>
  <si>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</si>
  <si>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</si>
  <si>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</si>
  <si>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</si>
  <si>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</si>
  <si>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</si>
  <si>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</si>
  <si>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</si>
  <si>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</si>
  <si>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</si>
  <si>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</si>
  <si>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</si>
  <si>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</si>
  <si>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</si>
  <si>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</si>
  <si>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</si>
  <si>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</si>
  <si>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</si>
  <si>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</si>
  <si>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</si>
  <si>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</si>
  <si>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</si>
  <si>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</si>
  <si>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</si>
  <si>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</si>
  <si>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</si>
  <si>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</si>
  <si>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</si>
  <si>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</si>
  <si>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</si>
  <si>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</si>
  <si>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</si>
  <si>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</si>
  <si>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</si>
  <si>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</si>
  <si>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</si>
  <si>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</si>
  <si>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</si>
  <si>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</si>
  <si>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</si>
  <si>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</si>
  <si>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</si>
  <si>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</si>
  <si>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</si>
  <si>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</si>
  <si>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</si>
  <si>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</si>
  <si>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</si>
  <si>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</si>
  <si>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</si>
  <si>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</si>
  <si>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</si>
  <si>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</si>
  <si>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</si>
  <si>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</si>
  <si>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</si>
  <si>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</si>
  <si>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</si>
  <si>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</si>
  <si>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</si>
  <si>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</si>
  <si>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</si>
  <si>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</si>
  <si>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</si>
  <si>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</si>
  <si>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</si>
  <si>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</si>
  <si>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</si>
  <si>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</si>
  <si>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</si>
  <si>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</si>
  <si>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</si>
  <si>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</si>
  <si>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</si>
  <si>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</si>
  <si>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</si>
  <si>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</si>
  <si>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</si>
  <si>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</si>
  <si>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</si>
  <si>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</si>
  <si>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</si>
  <si>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</si>
  <si>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</si>
  <si>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</si>
  <si>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</si>
  <si>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</si>
  <si>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</si>
  <si>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</si>
  <si>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</si>
  <si>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</si>
  <si>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</si>
  <si>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</si>
  <si>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</si>
  <si>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</si>
  <si>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</si>
  <si>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</si>
  <si>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</si>
  <si>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</si>
  <si>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</si>
  <si>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</si>
  <si>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</si>
  <si>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</si>
  <si>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</si>
  <si>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</si>
  <si>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</si>
  <si>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</si>
  <si>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</si>
  <si>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</si>
  <si>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</si>
  <si>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</si>
  <si>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</si>
  <si>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</si>
  <si>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</si>
  <si>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</si>
  <si>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</si>
  <si>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</si>
  <si>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</si>
  <si>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</si>
  <si>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</si>
  <si>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</si>
  <si>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</si>
  <si>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</si>
  <si>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</si>
  <si>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</si>
  <si>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</si>
  <si>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</si>
  <si>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</si>
  <si>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</si>
  <si>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</si>
  <si>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</si>
  <si>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</si>
  <si>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</si>
  <si>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</si>
  <si>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</si>
  <si>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</si>
  <si>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</si>
  <si>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</si>
  <si>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</si>
  <si>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</si>
  <si>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</si>
  <si>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</si>
  <si>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</si>
  <si>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</si>
  <si>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</si>
  <si>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</si>
  <si>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</si>
  <si>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</si>
  <si>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</si>
  <si>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</si>
  <si>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</si>
  <si>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</si>
  <si>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</si>
  <si>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</si>
  <si>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</si>
  <si>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</si>
  <si>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</si>
  <si>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</si>
  <si>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</si>
  <si>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</si>
  <si>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</si>
  <si>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</si>
  <si>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</si>
  <si>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</si>
  <si>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</si>
  <si>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</si>
  <si>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</si>
  <si>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</si>
  <si>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</si>
  <si>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</si>
  <si>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</si>
  <si>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</si>
  <si>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</si>
  <si>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</si>
  <si>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</si>
  <si>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</si>
  <si>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</si>
  <si>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</si>
  <si>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</si>
  <si>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</si>
  <si>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</si>
  <si>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</si>
  <si>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</si>
  <si>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</si>
  <si>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</si>
  <si>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</si>
  <si>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</si>
  <si>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</si>
  <si>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</si>
  <si>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</si>
  <si>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</si>
  <si>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</si>
  <si>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</si>
  <si>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</si>
  <si>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</si>
  <si>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</si>
  <si>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</si>
  <si>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</si>
  <si>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</si>
  <si>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</si>
  <si>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</si>
  <si>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</si>
  <si>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</si>
  <si>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</si>
  <si>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</si>
  <si>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</si>
  <si>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</si>
  <si>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</si>
  <si>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</si>
  <si>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</si>
  <si>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</si>
  <si>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</si>
  <si>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</si>
  <si>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</si>
  <si>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</si>
  <si>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</si>
  <si>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</si>
  <si>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</si>
  <si>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</si>
  <si>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</si>
  <si>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</si>
  <si>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</si>
  <si>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</si>
  <si>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</si>
  <si>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</si>
  <si>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</si>
  <si>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</si>
  <si>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</si>
  <si>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</si>
  <si>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</si>
  <si>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</si>
  <si>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</si>
  <si>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</si>
  <si>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</si>
  <si>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</si>
  <si>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</si>
  <si>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</si>
  <si>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</si>
  <si>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</si>
  <si>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</si>
  <si>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</si>
  <si>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</si>
  <si>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</si>
  <si>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</si>
  <si>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</si>
  <si>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</si>
  <si>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</si>
  <si>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</si>
  <si>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</si>
  <si>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</si>
  <si>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</si>
  <si>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</si>
  <si>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</si>
  <si>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</si>
  <si>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</si>
  <si>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</si>
  <si>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</si>
  <si>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</si>
  <si>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</si>
  <si>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</si>
  <si>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</si>
  <si>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</si>
  <si>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</si>
  <si>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</si>
  <si>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</si>
  <si>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</si>
  <si>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</si>
  <si>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</si>
  <si>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</si>
  <si>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</si>
  <si>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</si>
  <si>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</si>
  <si>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</si>
  <si>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</si>
  <si>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</si>
  <si>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</si>
  <si>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</si>
  <si>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</si>
  <si>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</si>
  <si>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</si>
  <si>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</si>
  <si>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</si>
  <si>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</si>
  <si>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</si>
  <si>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</si>
  <si>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</si>
  <si>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</si>
  <si>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</si>
  <si>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</si>
  <si>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</si>
  <si>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</si>
  <si>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</si>
  <si>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</si>
  <si>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</si>
  <si>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</si>
  <si>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</si>
  <si>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</si>
  <si>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</si>
  <si>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</si>
  <si>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</si>
  <si>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</si>
  <si>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</si>
  <si>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</si>
  <si>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</si>
  <si>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</si>
  <si>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</si>
  <si>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</si>
  <si>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</si>
  <si>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</si>
  <si>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</si>
  <si>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</si>
  <si>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</si>
  <si>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</si>
  <si>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</si>
  <si>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</si>
  <si>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</si>
  <si>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</si>
  <si>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</si>
  <si>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</si>
  <si>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</si>
  <si>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</si>
  <si>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</si>
  <si>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</si>
  <si>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</si>
  <si>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</si>
  <si>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</si>
  <si>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</si>
  <si>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</si>
  <si>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</si>
  <si>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</si>
  <si>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</si>
  <si>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</si>
  <si>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</si>
  <si>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</si>
  <si>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</si>
  <si>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</si>
  <si>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</si>
  <si>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</si>
  <si>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</si>
  <si>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</si>
  <si>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</si>
  <si>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</si>
  <si>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</si>
  <si>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</si>
  <si>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</si>
  <si>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</si>
  <si>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</si>
  <si>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</si>
  <si>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</si>
  <si>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</si>
  <si>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</si>
  <si>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</si>
  <si>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</si>
  <si>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</si>
  <si>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</si>
  <si>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</si>
  <si>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</si>
  <si>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</si>
  <si>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</si>
  <si>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</si>
  <si>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</si>
  <si>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</si>
  <si>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</si>
  <si>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</si>
  <si>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</si>
  <si>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</si>
  <si>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</si>
  <si>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</si>
  <si>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</si>
  <si>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</si>
  <si>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</si>
  <si>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</si>
  <si>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</si>
  <si>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</si>
  <si>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</si>
  <si>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</si>
  <si>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</si>
  <si>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</si>
  <si>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</si>
  <si>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</si>
  <si>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</si>
  <si>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</si>
  <si>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</si>
  <si>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</si>
  <si>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</si>
  <si>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</si>
  <si>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</si>
  <si>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</si>
  <si>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</si>
  <si>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</si>
  <si>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</si>
  <si>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</si>
  <si>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</si>
  <si>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</si>
  <si>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</si>
  <si>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</si>
  <si>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</si>
  <si>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</si>
  <si>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</si>
  <si>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</si>
  <si>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</si>
  <si>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</si>
  <si>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</si>
  <si>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</si>
  <si>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</si>
  <si>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</si>
  <si>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</si>
  <si>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</si>
  <si>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</si>
  <si>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</si>
  <si>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</si>
  <si>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</si>
  <si>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</si>
  <si>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</si>
  <si>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</si>
  <si>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</si>
  <si>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</si>
  <si>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</si>
  <si>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</si>
  <si>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</si>
  <si>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</si>
  <si>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</si>
  <si>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</si>
  <si>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</si>
  <si>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</si>
  <si>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</si>
  <si>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</si>
  <si>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</si>
  <si>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</si>
  <si>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</si>
  <si>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</si>
  <si>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</si>
  <si>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</si>
  <si>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</si>
  <si>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</si>
  <si>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</si>
  <si>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</si>
  <si>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</si>
  <si>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</si>
  <si>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</si>
  <si>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</si>
  <si>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</si>
  <si>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</si>
  <si>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</si>
  <si>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</si>
  <si>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</si>
  <si>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</si>
  <si>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</si>
  <si>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</si>
  <si>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</si>
  <si>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</si>
  <si>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</si>
  <si>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</si>
  <si>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</si>
  <si>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</si>
  <si>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</si>
  <si>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</si>
  <si>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</si>
  <si>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</si>
  <si>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</si>
  <si>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</si>
  <si>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</si>
  <si>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</si>
  <si>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</si>
  <si>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</si>
  <si>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</si>
  <si>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</si>
  <si>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</si>
  <si>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</si>
  <si>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</si>
  <si>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</si>
  <si>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</si>
  <si>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</si>
  <si>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</si>
  <si>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</si>
  <si>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</si>
  <si>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</si>
  <si>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</si>
  <si>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</si>
  <si>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</si>
  <si>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</si>
  <si>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</si>
  <si>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</si>
  <si>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</si>
  <si>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</si>
  <si>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</si>
  <si>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</si>
  <si>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</si>
  <si>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</si>
  <si>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</si>
  <si>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</si>
  <si>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</si>
  <si>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</si>
  <si>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</si>
  <si>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</si>
  <si>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</si>
  <si>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</si>
  <si>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</si>
  <si>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</si>
  <si>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</si>
  <si>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</si>
  <si>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</si>
  <si>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</si>
  <si>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</si>
  <si>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</si>
  <si>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</si>
  <si>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</si>
  <si>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</si>
  <si>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</si>
  <si>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</si>
  <si>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</si>
  <si>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</si>
  <si>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</si>
  <si>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</si>
  <si>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</si>
  <si>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</si>
  <si>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</si>
  <si>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</si>
  <si>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</si>
  <si>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</si>
  <si>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</si>
  <si>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</si>
  <si>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</si>
  <si>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</si>
  <si>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</si>
  <si>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OK-2024 tillæg (tidligere OK-18 tillæg)</t>
  </si>
  <si>
    <t>OK24-tillæg</t>
  </si>
  <si>
    <t>For lærere og bh.kl.ledere med tjenestemandspension er de "pensionsgivende løndele" ikke nødvendigvis pensionsgivende, bortset fra soucheftillæg, OK13-tillæg og OK24-tillæg.</t>
  </si>
  <si>
    <t>I alt 18,07%</t>
  </si>
  <si>
    <t>Løn - 2. lønnede praktikperiode</t>
  </si>
  <si>
    <t>Løn - 1. lønnede praktikperiode</t>
  </si>
  <si>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</si>
  <si>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</si>
  <si>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</si>
  <si>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</si>
  <si>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</si>
  <si>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</si>
  <si>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</si>
  <si>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</si>
  <si>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</si>
  <si>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t>3.2. Pr. vejledningstime (Pr. påbegyndt halve time. Opgøres og udbetales mdr. vis)</t>
  </si>
  <si>
    <t>3.1. Pr. praktikgruppe pr. praktikforløb (Tillægget ydes efter praktikforløbets 
afslutning)</t>
  </si>
  <si>
    <t>Tillæggene er beskrevet i fanen "lærere og bh. kl. ledere)</t>
  </si>
  <si>
    <t>Praktikaflønning - satser (Ny aftale gældende pr. 01.08.25)</t>
  </si>
  <si>
    <t>Praktikaflønning - satser til øvrige leder (Ny aftale gældende pr. 01.08.25)</t>
  </si>
  <si>
    <t>I alt 18,97%*</t>
  </si>
  <si>
    <t>Der indbetales pensionsbidrag på 18,97% til MP.</t>
  </si>
  <si>
    <t>I alt 18,97%</t>
  </si>
  <si>
    <t>For valg af pensionsselskab se Overenskomst for akademikere i Staten bilag A. Udover skalatrinslønnen kan der ydes tillæg efter lokal aftale i henhold bemyndigelse fra Undervisningsministeriet og efter Aftale om chefløn</t>
  </si>
  <si>
    <t>Gældende fra 1. januar 2026</t>
  </si>
  <si>
    <t>*) indtil 20.000 km pr. år derefter kr. 2,28</t>
  </si>
  <si>
    <t>Reguleringsprocenten</t>
  </si>
  <si>
    <t xml:space="preserve">Aftalt løn kr. 37.000,- pr. Måned </t>
  </si>
  <si>
    <t>Aftalt løn kr. 38.500,- pr. måned</t>
  </si>
  <si>
    <t>Interval efter beskæftigelsesgrad</t>
  </si>
  <si>
    <t>Beskæftigelsesgrad
fuldtid = 1
85% = 0,85</t>
  </si>
  <si>
    <r>
      <t xml:space="preserve">Time-interval
</t>
    </r>
    <r>
      <rPr>
        <sz val="11"/>
        <color theme="1"/>
        <rFont val="Arial"/>
        <family val="2"/>
      </rPr>
      <t>Afhængigt af beskæftigelsesgraden</t>
    </r>
  </si>
  <si>
    <t>Pr år</t>
  </si>
  <si>
    <t>Pr mdr</t>
  </si>
  <si>
    <t>Skalatrinslønnen nærmest herunder på skalatrin 40: kr. 36.819,75 pr. måned.</t>
  </si>
  <si>
    <t>Pensionstilsvaret bliver 15% af den pensionsgivende løn på skalatrin 40 = 15% af kr. 36.819,75 pr. måned = kr. 5.522,96</t>
  </si>
  <si>
    <t>Skalatrinslønnen nærmest herunder på skalatrin 42: kr. 38.372,17 pr. måned.</t>
  </si>
  <si>
    <t>Pensionstilsvaret bliver 15% af den pensionsgivende løn på skalatrin 42 = 15% af kr. 38.372,17 pr. måned = kr. 5.755,83</t>
  </si>
  <si>
    <t>Reguleringsprocenten er pr. 1. august steget fra 26,5085 til 27,3204</t>
  </si>
  <si>
    <t>Gældende fra 1. august 2026</t>
  </si>
  <si>
    <t>Denne løntabel er gældende til og med d. 31. december 2026</t>
  </si>
  <si>
    <t>01-08-2026</t>
  </si>
  <si>
    <r>
      <rPr>
        <b/>
        <i/>
        <sz val="12"/>
        <color theme="1"/>
        <rFont val="Arial"/>
        <family val="2"/>
      </rPr>
      <t xml:space="preserve">Lærere og børnehaveklasseledere: </t>
    </r>
    <r>
      <rPr>
        <i/>
        <sz val="12"/>
        <color theme="1"/>
        <rFont val="Arial"/>
        <family val="2"/>
      </rPr>
      <t xml:space="preserve">
Størrelsen for undervisningstillægget for den enkelte undervisningstime er afhængig af den ansattes samlede antal undervisningstimer i skoleåret. Tillæggsstørrelsen øges for grundskolelelærere ved 650 timer, 700 timer og 750 timer. For børnehaveklasseledere er grænserne 750 timer, 800 timer og 835 timer.
Ovennævnte grænser er pr. 1. august afhængig af beskæftigelsesgraden. 
En lærer der feks. har en 80 pct. ansættelse, vil rykke til næste trin når læreren har 520 undervisningstimer. (80 pct. af 650 timer).
I løntabellens fane "lærere og bh. kl. ledere" beregnes det månedelige undervisningstillæg automatisk ved oplysning af beskæftigelsesgrad og årlige antal planlagte undervisningstimer.</t>
    </r>
  </si>
  <si>
    <t>Udgivet d. 15. juni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</si>
</sst>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5">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b/>
      <i/>
      <sz val="12"/>
      <color theme="1"/>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68">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14" fontId="13" fillId="0" borderId="31" xfId="0" applyNumberFormat="1" applyFont="1" applyBorder="1" applyAlignment="1">
      <alignment horizontal="center"/>
    </xf>
    <xf numFmtId="0" fontId="13" fillId="0" borderId="55" xfId="0" applyFont="1" applyBorder="1"/>
    <xf numFmtId="4" fontId="78" fillId="3" borderId="55" xfId="0" applyNumberFormat="1" applyFont="1" applyFill="1" applyBorder="1" applyAlignment="1">
      <alignment horizontal="center"/>
    </xf>
    <xf numFmtId="0" fontId="15" fillId="3" borderId="56" xfId="0" applyFont="1" applyFill="1" applyBorder="1" applyAlignment="1">
      <alignment horizontal="left" vertical="center"/>
    </xf>
    <xf numFmtId="0" fontId="14" fillId="0" borderId="19" xfId="0" applyFont="1" applyBorder="1" applyAlignment="1">
      <alignment horizontal="center" vertical="center" wrapText="1"/>
    </xf>
    <xf numFmtId="0" fontId="14" fillId="0" borderId="0" xfId="0" applyFont="1" applyAlignment="1">
      <alignment horizontal="center" vertical="center"/>
    </xf>
    <xf numFmtId="0" fontId="14" fillId="0" borderId="42" xfId="0" applyFont="1" applyBorder="1" applyAlignment="1">
      <alignment horizontal="center" vertical="center" wrapText="1"/>
    </xf>
    <xf numFmtId="14" fontId="14" fillId="0" borderId="22" xfId="0" applyNumberFormat="1" applyFont="1" applyBorder="1" applyAlignment="1">
      <alignment horizontal="center" wrapText="1"/>
    </xf>
    <xf numFmtId="14" fontId="14" fillId="0" borderId="43" xfId="0" applyNumberFormat="1" applyFont="1" applyBorder="1" applyAlignment="1">
      <alignment horizontal="center" wrapText="1"/>
    </xf>
    <xf numFmtId="14" fontId="14" fillId="0" borderId="21" xfId="0" applyNumberFormat="1" applyFont="1" applyBorder="1" applyAlignment="1">
      <alignment horizontal="center" wrapText="1"/>
    </xf>
    <xf numFmtId="4" fontId="38" fillId="0" borderId="0" xfId="0" applyNumberFormat="1" applyFont="1"/>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6" xfId="0" applyFont="1" applyBorder="1" applyAlignment="1">
      <alignment horizontal="center" vertical="center" wrapText="1"/>
    </xf>
    <xf numFmtId="0" fontId="15" fillId="3" borderId="48" xfId="0" applyFont="1" applyFill="1" applyBorder="1" applyAlignment="1">
      <alignment horizontal="center" vertical="center"/>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62" fillId="0" borderId="0" xfId="0" applyFont="1" applyAlignment="1">
      <alignment horizontal="left" wrapText="1"/>
    </xf>
    <xf numFmtId="0" fontId="62" fillId="0" borderId="0" xfId="0" applyFont="1" applyAlignment="1">
      <alignment horizontal="left" vertical="justify" wrapText="1"/>
    </xf>
    <xf numFmtId="0" fontId="18" fillId="0" borderId="0" xfId="0" applyFont="1" applyAlignment="1">
      <alignment horizontal="left"/>
    </xf>
    <xf numFmtId="0" fontId="18" fillId="0" borderId="0" xfId="0" applyFont="1" applyAlignment="1">
      <alignment horizontal="left" wrapText="1"/>
    </xf>
    <xf numFmtId="0" fontId="17" fillId="0" borderId="0" xfId="0" applyFont="1" applyAlignment="1">
      <alignment horizontal="left"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3" fontId="33" fillId="5" borderId="13" xfId="0" applyNumberFormat="1" applyFont="1" applyFill="1" applyBorder="1" applyAlignment="1">
      <alignment horizontal="center"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4" borderId="21" xfId="0" applyFont="1" applyFill="1" applyBorder="1" applyAlignment="1">
      <alignment horizontal="left" vertical="center"/>
    </xf>
    <xf numFmtId="0" fontId="15" fillId="4" borderId="24" xfId="0" applyFont="1" applyFill="1" applyBorder="1" applyAlignment="1">
      <alignment horizontal="left" vertical="center"/>
    </xf>
    <xf numFmtId="0" fontId="15" fillId="4" borderId="22" xfId="0" applyFont="1" applyFill="1" applyBorder="1" applyAlignment="1">
      <alignment horizontal="left"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15" fillId="4" borderId="34" xfId="0" applyFont="1" applyFill="1" applyBorder="1" applyAlignment="1">
      <alignment horizontal="left"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23"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4" fontId="15" fillId="0" borderId="4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4" fontId="15" fillId="0" borderId="36" xfId="0" applyNumberFormat="1" applyFont="1" applyBorder="1" applyAlignment="1">
      <alignment horizont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14" xfId="0" applyNumberFormat="1" applyFont="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1" fillId="4" borderId="53" xfId="0" applyFont="1" applyFill="1" applyBorder="1" applyAlignment="1">
      <alignment horizontal="center" vertical="center"/>
    </xf>
    <xf numFmtId="0" fontId="14" fillId="4" borderId="17" xfId="0" applyFont="1" applyFill="1" applyBorder="1" applyAlignment="1">
      <alignment horizontal="center" vertical="center"/>
    </xf>
    <xf numFmtId="0" fontId="14"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44" xfId="0" applyFont="1" applyFill="1" applyBorder="1" applyAlignment="1">
      <alignment horizontal="center" wrapText="1"/>
    </xf>
    <xf numFmtId="0" fontId="14" fillId="4" borderId="27" xfId="0" applyFont="1" applyFill="1" applyBorder="1" applyAlignment="1">
      <alignment horizont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49" fontId="14" fillId="4" borderId="19" xfId="0" applyNumberFormat="1"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4"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0" fontId="14" fillId="0" borderId="19" xfId="0" applyFont="1" applyBorder="1" applyAlignment="1">
      <alignment horizontal="center" vertical="center" wrapText="1"/>
    </xf>
    <xf numFmtId="0" fontId="14" fillId="0" borderId="0" xfId="0" applyFont="1" applyAlignment="1">
      <alignment horizontal="center" vertical="center" wrapText="1"/>
    </xf>
    <xf numFmtId="0" fontId="14" fillId="0" borderId="21"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0" xfId="0" applyFont="1" applyAlignment="1">
      <alignment horizontal="center" vertical="center"/>
    </xf>
    <xf numFmtId="0" fontId="14" fillId="0" borderId="20" xfId="0" applyFont="1" applyBorder="1" applyAlignment="1">
      <alignment horizontal="center" vertical="center"/>
    </xf>
    <xf numFmtId="0" fontId="14" fillId="0" borderId="17"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42" xfId="0" applyFont="1" applyBorder="1" applyAlignment="1">
      <alignment horizontal="center" vertical="center" wrapText="1"/>
    </xf>
    <xf numFmtId="0" fontId="14" fillId="0" borderId="43" xfId="0" applyFont="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0" fontId="14" fillId="0" borderId="16"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51" xfId="0" applyFont="1" applyBorder="1" applyAlignment="1">
      <alignment horizontal="center" vertical="center"/>
    </xf>
    <xf numFmtId="0" fontId="14" fillId="0" borderId="52" xfId="0" applyFont="1" applyBorder="1" applyAlignment="1">
      <alignment horizontal="center" vertical="center"/>
    </xf>
    <xf numFmtId="0" fontId="14" fillId="0" borderId="53" xfId="0" applyFont="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7" fillId="0" borderId="21" xfId="0" applyFont="1" applyBorder="1" applyAlignment="1">
      <alignment horizontal="center" vertical="center"/>
    </xf>
    <xf numFmtId="0" fontId="17" fillId="0" borderId="24" xfId="0" applyFont="1" applyBorder="1" applyAlignment="1">
      <alignment horizontal="center" vertical="center"/>
    </xf>
    <xf numFmtId="0" fontId="17" fillId="0" borderId="0" xfId="0" applyFont="1" applyAlignment="1">
      <alignment horizontal="center" vertical="center"/>
    </xf>
    <xf numFmtId="0" fontId="17" fillId="0" borderId="22" xfId="0" applyFont="1" applyBorder="1" applyAlignment="1">
      <alignment horizontal="center" vertical="center"/>
    </xf>
    <xf numFmtId="0" fontId="14" fillId="0" borderId="16" xfId="0" applyFont="1" applyBorder="1" applyAlignment="1">
      <alignment horizontal="center" vertical="center"/>
    </xf>
    <xf numFmtId="0" fontId="14" fillId="0" borderId="19" xfId="0" applyFont="1" applyBorder="1" applyAlignment="1">
      <alignment horizontal="center" vertical="center"/>
    </xf>
    <xf numFmtId="0" fontId="14" fillId="0" borderId="21" xfId="0" applyFont="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4" fontId="78" fillId="3" borderId="77"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4" fontId="78" fillId="0" borderId="12" xfId="0" applyNumberFormat="1" applyFont="1" applyBorder="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9" fontId="18" fillId="4" borderId="21" xfId="0" applyNumberFormat="1" applyFont="1" applyFill="1" applyBorder="1" applyAlignment="1">
      <alignment horizontal="center"/>
    </xf>
    <xf numFmtId="0" fontId="18" fillId="4" borderId="22" xfId="0" applyFont="1" applyFill="1"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5" fillId="4" borderId="27" xfId="0" applyFont="1" applyFill="1" applyBorder="1" applyAlignment="1">
      <alignment horizontal="left" vertical="center" wrapText="1" shrinkToFit="1"/>
    </xf>
    <xf numFmtId="164" fontId="40" fillId="0" borderId="43"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15" fillId="4" borderId="23" xfId="0" applyFont="1" applyFill="1" applyBorder="1" applyAlignment="1">
      <alignment horizontal="center" vertical="center"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166" fontId="13" fillId="3" borderId="43"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36988</xdr:colOff>
      <xdr:row>19</xdr:row>
      <xdr:rowOff>79671</xdr:rowOff>
    </xdr:from>
    <xdr:to>
      <xdr:col>4</xdr:col>
      <xdr:colOff>1511300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23</xdr:row>
      <xdr:rowOff>114300</xdr:rowOff>
    </xdr:from>
    <xdr:to>
      <xdr:col>4</xdr:col>
      <xdr:colOff>1435100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3"/>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4</xdr:col>
      <xdr:colOff>1463040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4"/>
        <a:stretch>
          <a:fillRect/>
        </a:stretch>
      </xdr:blipFill>
      <xdr:spPr>
        <a:xfrm>
          <a:off x="3495040" y="4409440"/>
          <a:ext cx="1442720" cy="399117"/>
        </a:xfrm>
        <a:prstGeom prst="rect">
          <a:avLst/>
        </a:prstGeom>
      </xdr:spPr>
    </xdr:pic>
    <xdr:clientData/>
  </xdr:twoCellAnchor>
  <xdr:twoCellAnchor editAs="oneCell">
    <xdr:from>
      <xdr:col>4</xdr:col>
      <xdr:colOff>1353312</xdr:colOff>
      <xdr:row>14</xdr:row>
      <xdr:rowOff>286512</xdr:rowOff>
    </xdr:from>
    <xdr:to>
      <xdr:col>9</xdr:col>
      <xdr:colOff>1</xdr:colOff>
      <xdr:row>15</xdr:row>
      <xdr:rowOff>12192</xdr:rowOff>
    </xdr:to>
    <xdr:pic>
      <xdr:nvPicPr>
        <xdr:cNvPr id="2" name="Billede 1">
          <a:extLst>
            <a:ext uri="{FF2B5EF4-FFF2-40B4-BE49-F238E27FC236}">
              <a16:creationId xmlns:a16="http://schemas.microsoft.com/office/drawing/2014/main" id="{01745DB3-3C19-41CB-B1FB-A7D6FBF148FF}"/>
            </a:ext>
          </a:extLst>
        </xdr:cNvPr>
        <xdr:cNvPicPr>
          <a:picLocks noChangeAspect="1"/>
        </xdr:cNvPicPr>
      </xdr:nvPicPr>
      <xdr:blipFill>
        <a:blip xmlns:r="http://schemas.openxmlformats.org/officeDocument/2006/relationships" r:embed="rId5"/>
        <a:stretch>
          <a:fillRect/>
        </a:stretch>
      </xdr:blipFill>
      <xdr:spPr>
        <a:xfrm>
          <a:off x="4474464" y="6035040"/>
          <a:ext cx="2121409" cy="371856"/>
        </a:xfrm>
        <a:prstGeom prst="rect">
          <a:avLst/>
        </a:prstGeom>
      </xdr:spPr>
    </xdr:pic>
    <xdr:clientData/>
  </xdr:twoCellAnchor>
  <xdr:twoCellAnchor editAs="oneCell">
    <xdr:from>
      <xdr:col>4</xdr:col>
      <xdr:colOff>73152</xdr:colOff>
      <xdr:row>16</xdr:row>
      <xdr:rowOff>195072</xdr:rowOff>
    </xdr:from>
    <xdr:to>
      <xdr:col>4</xdr:col>
      <xdr:colOff>1306345</xdr:colOff>
      <xdr:row>16</xdr:row>
      <xdr:rowOff>411235</xdr:rowOff>
    </xdr:to>
    <xdr:pic>
      <xdr:nvPicPr>
        <xdr:cNvPr id="6" name="Billede 5">
          <a:extLst>
            <a:ext uri="{FF2B5EF4-FFF2-40B4-BE49-F238E27FC236}">
              <a16:creationId xmlns:a16="http://schemas.microsoft.com/office/drawing/2014/main" id="{084F40CE-AB7D-4935-AB28-7771DE07980E}"/>
            </a:ext>
          </a:extLst>
        </xdr:cNvPr>
        <xdr:cNvPicPr>
          <a:picLocks noChangeAspect="1"/>
        </xdr:cNvPicPr>
      </xdr:nvPicPr>
      <xdr:blipFill>
        <a:blip xmlns:r="http://schemas.openxmlformats.org/officeDocument/2006/relationships" r:embed="rId5"/>
        <a:stretch>
          <a:fillRect/>
        </a:stretch>
      </xdr:blipFill>
      <xdr:spPr>
        <a:xfrm>
          <a:off x="3194304" y="7235952"/>
          <a:ext cx="1233193" cy="2161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abSelected="1" topLeftCell="A5" zoomScale="125" workbookViewId="0">
      <selection activeCell="A7" sqref="A7:I7"/>
    </sheetView>
  </sheetViews>
  <sheetFormatPr defaultColWidth="8.77734375" defaultRowHeight="14.4"/>
  <cols>
    <col min="1" max="1" width="29.109375" style="34" customWidth="1"/>
    <col min="2" max="2" width="16.33203125" customWidth="1"/>
    <col min="3" max="3" width="24.33203125" hidden="1" customWidth="1"/>
    <col min="4" max="4" width="9.6640625" hidden="1" customWidth="1"/>
    <col min="5" max="5" width="20" bestFit="1" customWidth="1"/>
    <col min="6" max="6" width="4.6640625" customWidth="1"/>
    <col min="7" max="7" width="8.77734375" customWidth="1"/>
    <col min="8" max="8" width="10.6640625" customWidth="1"/>
    <col min="9" max="9" width="6.44140625" customWidth="1"/>
  </cols>
  <sheetData>
    <row r="1" spans="1:21" ht="34.950000000000003" customHeight="1">
      <c r="A1" s="1003"/>
      <c r="B1" s="1003"/>
      <c r="C1" s="1003"/>
      <c r="D1" s="1003"/>
      <c r="E1" s="1003"/>
      <c r="F1" s="1003"/>
      <c r="G1" s="1003"/>
      <c r="H1" s="1003"/>
      <c r="I1" s="1003"/>
    </row>
    <row r="2" spans="1:21" ht="30" customHeight="1">
      <c r="A2" s="989"/>
      <c r="B2" s="989"/>
      <c r="C2" s="989"/>
      <c r="D2" s="989"/>
      <c r="E2" s="989"/>
      <c r="F2" s="989"/>
      <c r="G2" s="989"/>
      <c r="H2" s="989"/>
      <c r="I2" s="989"/>
    </row>
    <row r="3" spans="1:21" ht="37.049999999999997" customHeight="1">
      <c r="A3" s="1003" t="s">
        <v>79</v>
      </c>
      <c r="B3" s="1003"/>
      <c r="C3" s="1003"/>
      <c r="D3" s="1003"/>
      <c r="E3" s="1003"/>
      <c r="F3" s="1003"/>
      <c r="G3" s="1003"/>
      <c r="H3" s="1003"/>
      <c r="I3" s="1003"/>
      <c r="M3" s="1001"/>
      <c r="N3" s="1002"/>
      <c r="O3" s="1002"/>
      <c r="P3" s="1002"/>
      <c r="Q3" s="1002"/>
      <c r="R3" s="1002"/>
      <c r="S3" s="1002"/>
      <c r="T3" s="1002"/>
      <c r="U3" s="1002"/>
    </row>
    <row r="4" spans="1:21" ht="25.95" customHeight="1">
      <c r="A4" s="1003" t="s">
        <v>377</v>
      </c>
      <c r="B4" s="1003"/>
      <c r="C4" s="1003"/>
      <c r="D4" s="1003"/>
      <c r="E4" s="1003"/>
      <c r="F4" s="1003"/>
      <c r="G4" s="1003"/>
      <c r="H4" s="1003"/>
      <c r="I4" s="1003"/>
    </row>
    <row r="5" spans="1:21" s="31" customFormat="1" ht="13.95" customHeight="1">
      <c r="A5" s="989"/>
      <c r="B5" s="989"/>
      <c r="C5" s="989"/>
      <c r="D5" s="989"/>
      <c r="E5" s="989"/>
      <c r="F5" s="989"/>
      <c r="G5" s="989"/>
      <c r="H5" s="989"/>
      <c r="I5" s="989"/>
    </row>
    <row r="6" spans="1:21" s="31" customFormat="1" ht="21" customHeight="1">
      <c r="A6" s="1004" t="s">
        <v>567</v>
      </c>
      <c r="B6" s="1004"/>
      <c r="C6" s="1004"/>
      <c r="D6" s="1004"/>
      <c r="E6" s="1004"/>
      <c r="F6" s="1004"/>
      <c r="G6" s="1004"/>
      <c r="H6" s="1004"/>
      <c r="I6" s="1004"/>
    </row>
    <row r="7" spans="1:21" ht="18" customHeight="1">
      <c r="A7" s="991" t="s">
        <v>571</v>
      </c>
      <c r="B7" s="991"/>
      <c r="C7" s="991"/>
      <c r="D7" s="991"/>
      <c r="E7" s="991"/>
      <c r="F7" s="991"/>
      <c r="G7" s="991"/>
      <c r="H7" s="991"/>
      <c r="I7" s="991"/>
    </row>
    <row r="8" spans="1:21" s="31" customFormat="1" ht="28.95" customHeight="1">
      <c r="A8" s="1005" t="s">
        <v>568</v>
      </c>
      <c r="B8" s="1005"/>
      <c r="C8" s="1005"/>
      <c r="D8" s="1005"/>
      <c r="E8" s="1005"/>
      <c r="F8" s="1005"/>
      <c r="G8" s="1005"/>
      <c r="H8" s="1005"/>
      <c r="I8" s="1005"/>
    </row>
    <row r="9" spans="1:21" ht="18" customHeight="1">
      <c r="A9" s="991"/>
      <c r="B9" s="991"/>
      <c r="C9" s="991"/>
      <c r="D9" s="991"/>
      <c r="E9" s="991"/>
      <c r="F9" s="991"/>
      <c r="G9" s="991"/>
      <c r="H9" s="991"/>
      <c r="I9" s="991"/>
    </row>
    <row r="10" spans="1:21" ht="19.95" customHeight="1">
      <c r="A10" s="1008" t="s">
        <v>475</v>
      </c>
      <c r="B10" s="1008"/>
      <c r="C10" s="1008"/>
      <c r="D10" s="1008"/>
      <c r="E10" s="1008"/>
      <c r="F10" s="1008"/>
      <c r="G10" s="1008"/>
      <c r="H10" s="1008"/>
      <c r="I10" s="1008"/>
    </row>
    <row r="11" spans="1:21" ht="19.95" customHeight="1">
      <c r="A11" s="1009" t="s">
        <v>554</v>
      </c>
      <c r="B11" s="1009"/>
      <c r="C11" s="1009"/>
      <c r="D11" s="1009"/>
      <c r="E11" s="1009"/>
      <c r="F11" s="1009"/>
      <c r="G11" s="1009"/>
      <c r="H11" s="1009"/>
      <c r="I11" s="1009"/>
    </row>
    <row r="12" spans="1:21" ht="19.95" customHeight="1">
      <c r="A12" s="1010" t="s">
        <v>566</v>
      </c>
      <c r="B12" s="1010"/>
      <c r="C12" s="1010"/>
      <c r="D12" s="1010"/>
      <c r="E12" s="1010"/>
      <c r="F12" s="1010"/>
      <c r="G12" s="1010"/>
      <c r="H12" s="1010"/>
      <c r="I12" s="1010"/>
    </row>
    <row r="13" spans="1:21" ht="145.05000000000001" customHeight="1">
      <c r="A13" s="1006" t="s">
        <v>570</v>
      </c>
      <c r="B13" s="1006"/>
      <c r="C13" s="1006"/>
      <c r="D13" s="1006"/>
      <c r="E13" s="1006"/>
      <c r="F13" s="1006"/>
      <c r="G13" s="1006"/>
      <c r="H13" s="1006"/>
      <c r="I13" s="1006"/>
    </row>
    <row r="14" spans="1:21" ht="21" customHeight="1">
      <c r="A14" s="1007"/>
      <c r="B14" s="1007"/>
      <c r="C14" s="1007"/>
      <c r="D14" s="1007"/>
      <c r="E14" s="1007"/>
      <c r="F14" s="1007"/>
      <c r="G14" s="1007"/>
      <c r="H14" s="1007"/>
      <c r="I14" s="1007"/>
    </row>
    <row r="15" spans="1:21" ht="51" customHeight="1">
      <c r="A15" s="992" t="s">
        <v>82</v>
      </c>
      <c r="B15" s="992"/>
      <c r="C15" s="992"/>
      <c r="D15" s="992"/>
      <c r="E15" s="32"/>
      <c r="F15" s="996" t="s">
        <v>302</v>
      </c>
      <c r="G15" s="996"/>
      <c r="H15" s="996"/>
      <c r="I15" s="996"/>
    </row>
    <row r="16" spans="1:21" ht="51" customHeight="1">
      <c r="A16" s="992" t="s">
        <v>80</v>
      </c>
      <c r="B16" s="992"/>
      <c r="C16" s="992"/>
      <c r="D16" s="992"/>
      <c r="E16" s="32"/>
      <c r="F16" s="990" t="s">
        <v>303</v>
      </c>
      <c r="G16" s="990"/>
      <c r="H16" s="990"/>
      <c r="I16" s="990"/>
    </row>
    <row r="17" spans="1:9" ht="48" customHeight="1">
      <c r="A17" s="992" t="s">
        <v>296</v>
      </c>
      <c r="B17" s="992"/>
      <c r="C17" s="992"/>
      <c r="D17" s="992"/>
      <c r="E17" s="993"/>
      <c r="F17" s="990" t="s">
        <v>371</v>
      </c>
      <c r="G17" s="990"/>
      <c r="H17" s="990"/>
      <c r="I17" s="990"/>
    </row>
    <row r="18" spans="1:9" ht="1.95" hidden="1" customHeight="1">
      <c r="A18" s="992"/>
      <c r="B18" s="992"/>
      <c r="C18" s="992"/>
      <c r="D18" s="992"/>
      <c r="E18" s="993"/>
      <c r="F18" s="990" t="s">
        <v>426</v>
      </c>
      <c r="G18" s="990"/>
      <c r="H18" s="990"/>
      <c r="I18" s="990"/>
    </row>
    <row r="19" spans="1:9" ht="13.05" hidden="1" customHeight="1">
      <c r="A19" s="992"/>
      <c r="B19" s="992"/>
      <c r="C19" s="992"/>
      <c r="D19" s="992"/>
      <c r="E19" s="993"/>
      <c r="F19" s="990"/>
      <c r="G19" s="990"/>
      <c r="H19" s="990"/>
      <c r="I19" s="990"/>
    </row>
    <row r="20" spans="1:9" ht="49.95" customHeight="1">
      <c r="A20" s="994" t="s">
        <v>81</v>
      </c>
      <c r="B20" s="994"/>
      <c r="C20" s="38"/>
      <c r="D20" s="38"/>
      <c r="E20" s="993"/>
      <c r="F20" s="990"/>
      <c r="G20" s="990"/>
      <c r="H20" s="990"/>
      <c r="I20" s="990"/>
    </row>
    <row r="21" spans="1:9" ht="1.95" hidden="1" customHeight="1">
      <c r="A21" s="994"/>
      <c r="B21" s="994"/>
      <c r="C21" s="38"/>
      <c r="D21" s="38"/>
      <c r="E21" s="993"/>
      <c r="F21" s="990"/>
      <c r="G21" s="990"/>
      <c r="H21" s="990"/>
      <c r="I21" s="990"/>
    </row>
    <row r="22" spans="1:9" ht="10.050000000000001" hidden="1" customHeight="1">
      <c r="A22" s="994"/>
      <c r="B22" s="994"/>
      <c r="C22" s="38"/>
      <c r="D22" s="38"/>
      <c r="E22" s="993"/>
      <c r="F22" s="990"/>
      <c r="G22" s="990"/>
      <c r="H22" s="990"/>
      <c r="I22" s="990"/>
    </row>
    <row r="23" spans="1:9" ht="1.05" hidden="1" customHeight="1">
      <c r="A23" s="994"/>
      <c r="B23" s="994"/>
      <c r="C23" s="38"/>
      <c r="D23" s="38"/>
      <c r="E23" s="993"/>
      <c r="F23" s="990" t="s">
        <v>304</v>
      </c>
      <c r="G23" s="990"/>
      <c r="H23" s="990"/>
      <c r="I23" s="990"/>
    </row>
    <row r="24" spans="1:9" ht="51" customHeight="1">
      <c r="A24" s="839" t="s">
        <v>427</v>
      </c>
      <c r="B24" s="839"/>
      <c r="C24" s="839"/>
      <c r="D24" s="839"/>
      <c r="E24" s="839"/>
      <c r="F24" s="990" t="s">
        <v>472</v>
      </c>
      <c r="G24" s="990"/>
      <c r="H24" s="990"/>
      <c r="I24" s="990"/>
    </row>
    <row r="25" spans="1:9" ht="15" customHeight="1">
      <c r="A25" s="837"/>
      <c r="B25" s="837"/>
      <c r="C25" s="837"/>
      <c r="D25" s="837"/>
      <c r="E25" s="837"/>
    </row>
    <row r="26" spans="1:9" ht="46.05" customHeight="1">
      <c r="A26" s="995" t="s">
        <v>127</v>
      </c>
      <c r="B26" s="995"/>
      <c r="C26" s="995"/>
      <c r="D26" s="995"/>
      <c r="E26" s="995"/>
      <c r="F26" s="995"/>
      <c r="G26" s="995"/>
      <c r="H26" s="995"/>
      <c r="I26" s="995"/>
    </row>
    <row r="27" spans="1:9" ht="46.05" customHeight="1">
      <c r="A27" s="565"/>
      <c r="B27" s="565"/>
      <c r="C27" s="565"/>
      <c r="D27" s="565"/>
      <c r="E27" s="565"/>
      <c r="F27" s="838"/>
      <c r="G27" s="838"/>
      <c r="H27" s="838"/>
      <c r="I27" s="838"/>
    </row>
    <row r="28" spans="1:9" ht="85.05" customHeight="1">
      <c r="A28" s="989"/>
      <c r="B28" s="989"/>
      <c r="C28" s="989"/>
      <c r="D28" s="989"/>
      <c r="E28" s="15"/>
    </row>
    <row r="29" spans="1:9" ht="13.05" customHeight="1">
      <c r="B29" s="997"/>
      <c r="C29" s="997"/>
      <c r="D29" s="997"/>
      <c r="E29" s="15"/>
    </row>
    <row r="30" spans="1:9">
      <c r="A30" s="35"/>
      <c r="B30" s="14"/>
      <c r="C30" s="14"/>
      <c r="D30" s="14"/>
      <c r="E30" s="14"/>
    </row>
    <row r="31" spans="1:9">
      <c r="A31" s="989"/>
      <c r="B31" s="989"/>
      <c r="C31" s="989"/>
      <c r="D31" s="989"/>
      <c r="E31" s="15"/>
      <c r="F31" s="564"/>
      <c r="G31" s="564"/>
      <c r="H31" s="564"/>
      <c r="I31" s="564"/>
    </row>
    <row r="32" spans="1:9">
      <c r="A32" s="564"/>
      <c r="B32" s="564"/>
      <c r="C32" s="564"/>
      <c r="D32" s="564"/>
      <c r="E32" s="564"/>
    </row>
    <row r="33" spans="1:9">
      <c r="A33" s="989"/>
      <c r="B33" s="989"/>
      <c r="C33" s="989"/>
      <c r="D33" s="989"/>
      <c r="E33" s="15"/>
    </row>
    <row r="34" spans="1:9">
      <c r="A34" s="989"/>
      <c r="B34" s="989"/>
      <c r="C34" s="989"/>
      <c r="D34" s="989"/>
      <c r="E34" s="15"/>
      <c r="H34" s="989"/>
      <c r="I34" s="989"/>
    </row>
    <row r="35" spans="1:9">
      <c r="A35" s="989"/>
      <c r="B35" s="989"/>
      <c r="C35" s="989"/>
      <c r="D35" s="989"/>
      <c r="E35" s="15"/>
      <c r="H35" s="989"/>
      <c r="I35" s="989"/>
    </row>
    <row r="36" spans="1:9">
      <c r="A36" s="989"/>
      <c r="B36" s="989"/>
      <c r="C36" s="989"/>
      <c r="D36" s="989"/>
      <c r="E36" s="15"/>
      <c r="H36" s="989"/>
      <c r="I36" s="989"/>
    </row>
    <row r="37" spans="1:9">
      <c r="A37" s="989"/>
      <c r="B37" s="989"/>
      <c r="C37" s="989"/>
      <c r="D37" s="989"/>
      <c r="E37" s="15"/>
      <c r="H37" s="989"/>
      <c r="I37" s="989"/>
    </row>
    <row r="38" spans="1:9">
      <c r="A38" s="989"/>
      <c r="B38" s="989"/>
      <c r="C38" s="989"/>
      <c r="D38" s="989"/>
      <c r="E38" s="15"/>
      <c r="H38" s="989"/>
      <c r="I38" s="989"/>
    </row>
    <row r="39" spans="1:9">
      <c r="A39" s="989"/>
      <c r="B39" s="989"/>
      <c r="C39" s="989"/>
      <c r="D39" s="989"/>
      <c r="E39" s="15"/>
      <c r="H39" s="989"/>
      <c r="I39" s="989"/>
    </row>
    <row r="40" spans="1:9">
      <c r="A40" s="989"/>
      <c r="B40" s="989"/>
      <c r="C40" s="989"/>
      <c r="D40" s="989"/>
      <c r="E40" s="15"/>
      <c r="H40" s="989"/>
      <c r="I40" s="989"/>
    </row>
    <row r="41" spans="1:9">
      <c r="A41" s="35"/>
      <c r="B41" s="15"/>
      <c r="C41" s="15"/>
      <c r="D41" s="15"/>
      <c r="E41" s="15"/>
      <c r="H41" s="989"/>
      <c r="I41" s="989"/>
    </row>
    <row r="42" spans="1:9" ht="17.399999999999999">
      <c r="A42" s="38"/>
      <c r="B42" s="997"/>
      <c r="C42" s="997"/>
      <c r="D42" s="997"/>
      <c r="E42" s="36"/>
      <c r="H42" s="989"/>
      <c r="I42" s="989"/>
    </row>
    <row r="43" spans="1:9">
      <c r="A43" s="35"/>
      <c r="B43" s="14"/>
      <c r="C43" s="14"/>
      <c r="D43" s="14"/>
      <c r="E43" s="14"/>
      <c r="H43" s="989"/>
      <c r="I43" s="989"/>
    </row>
    <row r="44" spans="1:9" ht="15.6">
      <c r="A44" s="1000"/>
      <c r="B44" s="1000"/>
      <c r="C44" s="1000"/>
      <c r="D44" s="1000"/>
      <c r="E44" s="33"/>
    </row>
    <row r="45" spans="1:9" ht="17.399999999999999">
      <c r="A45" s="999"/>
      <c r="B45" s="999"/>
      <c r="C45" s="999"/>
      <c r="D45" s="999"/>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998"/>
    </row>
    <row r="58" spans="1:9">
      <c r="I58" s="998"/>
    </row>
    <row r="59" spans="1:9">
      <c r="I59" s="998"/>
    </row>
  </sheetData>
  <mergeCells count="54">
    <mergeCell ref="A6:I6"/>
    <mergeCell ref="A15:D15"/>
    <mergeCell ref="A8:I8"/>
    <mergeCell ref="A13:I13"/>
    <mergeCell ref="A7:I7"/>
    <mergeCell ref="A14:I14"/>
    <mergeCell ref="A10:I10"/>
    <mergeCell ref="A11:I11"/>
    <mergeCell ref="A12:I12"/>
    <mergeCell ref="M3:U3"/>
    <mergeCell ref="A1:I1"/>
    <mergeCell ref="A4:I4"/>
    <mergeCell ref="A3:I3"/>
    <mergeCell ref="A5:I5"/>
    <mergeCell ref="A2:I2"/>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H41:I41"/>
    <mergeCell ref="H42:I42"/>
    <mergeCell ref="B29:D29"/>
    <mergeCell ref="H34:I34"/>
    <mergeCell ref="H35:I35"/>
    <mergeCell ref="H38:I38"/>
    <mergeCell ref="H39:I39"/>
    <mergeCell ref="H40:I40"/>
    <mergeCell ref="A28:D28"/>
    <mergeCell ref="F17:I17"/>
    <mergeCell ref="A9:I9"/>
    <mergeCell ref="F24:I24"/>
    <mergeCell ref="F23:I23"/>
    <mergeCell ref="F18:I20"/>
    <mergeCell ref="F21:I22"/>
    <mergeCell ref="A16:D16"/>
    <mergeCell ref="A17:D19"/>
    <mergeCell ref="E17:E19"/>
    <mergeCell ref="A20:B23"/>
    <mergeCell ref="E20:E23"/>
    <mergeCell ref="A26:I26"/>
    <mergeCell ref="F15:I15"/>
    <mergeCell ref="F16:I16"/>
  </mergeCells>
  <phoneticPr fontId="7" type="noConversion"/>
  <pageMargins left="0.25590551181102361" right="0.25590551181102361" top="0.36000000000000004" bottom="0.16" header="0.30000000000000004" footer="0.30000000000000004"/>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defaultColWidth="8.77734375" defaultRowHeight="13.2"/>
  <cols>
    <col min="1" max="7" width="12.6640625" style="206" customWidth="1"/>
    <col min="8" max="8" width="14" style="206" customWidth="1"/>
    <col min="9" max="10" width="12.6640625" style="206" customWidth="1"/>
    <col min="11" max="11" width="8.77734375" style="206"/>
    <col min="12" max="12" width="11.33203125" style="206" bestFit="1" customWidth="1"/>
    <col min="13" max="16384" width="8.77734375" style="206"/>
  </cols>
  <sheetData>
    <row r="1" spans="1:14" ht="21">
      <c r="A1" s="1223" t="s">
        <v>19</v>
      </c>
      <c r="B1" s="1224"/>
      <c r="C1" s="1224"/>
      <c r="D1" s="1224"/>
      <c r="E1" s="1224"/>
      <c r="F1" s="1224"/>
      <c r="G1" s="1224"/>
      <c r="H1" s="1224"/>
      <c r="I1" s="1225"/>
    </row>
    <row r="2" spans="1:14" ht="39" customHeight="1">
      <c r="A2" s="1807" t="s">
        <v>186</v>
      </c>
      <c r="B2" s="1808"/>
      <c r="C2" s="1808"/>
      <c r="D2" s="1808"/>
      <c r="E2" s="1808"/>
      <c r="F2" s="1808"/>
      <c r="G2" s="1808"/>
      <c r="H2" s="1808"/>
      <c r="I2" s="1809"/>
    </row>
    <row r="3" spans="1:14" ht="21">
      <c r="A3" s="1237" t="str">
        <f>'Forside 1'!A6:I6</f>
        <v>Gældende fra 1. august 2026</v>
      </c>
      <c r="B3" s="1238"/>
      <c r="C3" s="1238"/>
      <c r="D3" s="1238"/>
      <c r="E3" s="1238"/>
      <c r="F3" s="1238"/>
      <c r="G3" s="1238"/>
      <c r="H3" s="1238"/>
      <c r="I3" s="1239"/>
    </row>
    <row r="4" spans="1:14" ht="34.049999999999997" customHeight="1" thickBot="1">
      <c r="A4" s="1875" t="s">
        <v>297</v>
      </c>
      <c r="B4" s="1876"/>
      <c r="C4" s="1876"/>
      <c r="D4" s="1876"/>
      <c r="E4" s="1876"/>
      <c r="F4" s="1876"/>
      <c r="G4" s="1876"/>
      <c r="H4" s="1876"/>
      <c r="I4" s="1877"/>
    </row>
    <row r="5" spans="1:14" ht="13.8">
      <c r="A5" s="222"/>
      <c r="B5" s="222"/>
      <c r="C5" s="222"/>
      <c r="D5" s="222"/>
      <c r="E5" s="222"/>
      <c r="F5" s="222"/>
      <c r="G5" s="222"/>
      <c r="H5" s="222"/>
      <c r="I5" s="222"/>
      <c r="J5" s="222"/>
    </row>
    <row r="6" spans="1:14" ht="14.4" thickBot="1">
      <c r="A6" s="222"/>
      <c r="B6" s="222"/>
      <c r="C6" s="222"/>
      <c r="D6" s="222"/>
      <c r="E6" s="222"/>
      <c r="F6" s="222"/>
      <c r="G6" s="222"/>
      <c r="H6" s="222"/>
      <c r="I6" s="222"/>
      <c r="J6" s="222"/>
    </row>
    <row r="7" spans="1:14" s="232" customFormat="1" ht="18" thickBot="1">
      <c r="A7" s="1701" t="s">
        <v>274</v>
      </c>
      <c r="B7" s="1702"/>
      <c r="C7" s="1702"/>
      <c r="D7" s="1702"/>
      <c r="E7" s="1702"/>
      <c r="F7" s="1703"/>
      <c r="G7" s="1701" t="s">
        <v>165</v>
      </c>
      <c r="H7" s="1702"/>
      <c r="I7" s="1703"/>
      <c r="J7" s="664"/>
    </row>
    <row r="8" spans="1:14" s="232" customFormat="1" ht="13.8">
      <c r="A8" s="491" t="s">
        <v>57</v>
      </c>
      <c r="B8" s="492" t="s">
        <v>72</v>
      </c>
      <c r="C8" s="492" t="s">
        <v>73</v>
      </c>
      <c r="D8" s="492" t="s">
        <v>74</v>
      </c>
      <c r="E8" s="492" t="s">
        <v>75</v>
      </c>
      <c r="F8" s="492" t="s">
        <v>76</v>
      </c>
      <c r="G8" s="1869" t="s">
        <v>376</v>
      </c>
      <c r="H8" s="1870"/>
      <c r="I8" s="665">
        <v>0.14000000000000001</v>
      </c>
    </row>
    <row r="9" spans="1:14" s="232" customFormat="1" ht="13.95" customHeight="1">
      <c r="A9" s="270" t="s">
        <v>205</v>
      </c>
      <c r="B9" s="451" t="e">
        <f>'Statens skalatrin'!D46+('3f (DFF, DPS, LS, DSSV)'!#REF!/12)</f>
        <v>#REF!</v>
      </c>
      <c r="C9" s="451" t="e">
        <f>'Statens skalatrin'!F46+('3f (DFF, DPS, LS, DSSV)'!#REF!/12)</f>
        <v>#REF!</v>
      </c>
      <c r="D9" s="451" t="e">
        <f>'Statens skalatrin'!H46+('3f (DFF, DPS, LS, DSSV)'!#REF!/12)</f>
        <v>#REF!</v>
      </c>
      <c r="E9" s="451" t="e">
        <f>'Statens skalatrin'!J46+('3f (DFF, DPS, LS, DSSV)'!#REF!/12)</f>
        <v>#REF!</v>
      </c>
      <c r="F9" s="451" t="e">
        <f>'Statens skalatrin'!L46+('3f (DFF, DPS, LS, DSSV)'!#REF!/12)</f>
        <v>#REF!</v>
      </c>
      <c r="G9" s="1871">
        <f>'Statens skalatrin'!O46</f>
        <v>22579.13</v>
      </c>
      <c r="H9" s="1872"/>
      <c r="I9" s="329">
        <f>G9*$I$8</f>
        <v>3161.0782000000004</v>
      </c>
      <c r="J9" s="235"/>
      <c r="K9" s="231"/>
    </row>
    <row r="10" spans="1:14" s="232" customFormat="1" ht="15" customHeight="1">
      <c r="A10" s="270">
        <v>17</v>
      </c>
      <c r="B10" s="451">
        <f>'Statens skalatrin'!D55</f>
        <v>25358.5</v>
      </c>
      <c r="C10" s="451">
        <f>'Statens skalatrin'!F55</f>
        <v>25900.58</v>
      </c>
      <c r="D10" s="451">
        <f>'Statens skalatrin'!H55</f>
        <v>26275.83</v>
      </c>
      <c r="E10" s="451">
        <f>'Statens skalatrin'!J55</f>
        <v>26817.83</v>
      </c>
      <c r="F10" s="451">
        <f>'Statens skalatrin'!L55</f>
        <v>27192.92</v>
      </c>
      <c r="G10" s="1871">
        <f>'Statens skalatrin'!O55</f>
        <v>23816.77</v>
      </c>
      <c r="H10" s="1872"/>
      <c r="I10" s="329">
        <f>G10*$I$8</f>
        <v>3334.3478000000005</v>
      </c>
      <c r="J10" s="235"/>
      <c r="K10" s="231"/>
    </row>
    <row r="11" spans="1:14" s="232" customFormat="1" ht="15" customHeight="1" thickBot="1">
      <c r="A11" s="271" t="s">
        <v>166</v>
      </c>
      <c r="B11" s="452" t="e">
        <f>'Statens skalatrin'!D64+('3f (DFF, DPS, LS, DSSV)'!#REF!/12)</f>
        <v>#REF!</v>
      </c>
      <c r="C11" s="452" t="e">
        <f>'Statens skalatrin'!F64+('3f (DFF, DPS, LS, DSSV)'!#REF!/12)</f>
        <v>#REF!</v>
      </c>
      <c r="D11" s="452" t="e">
        <f>'Statens skalatrin'!H64+('3f (DFF, DPS, LS, DSSV)'!#REF!/12)</f>
        <v>#REF!</v>
      </c>
      <c r="E11" s="452" t="e">
        <f>'Statens skalatrin'!J64+('3f (DFF, DPS, LS, DSSV)'!#REF!/12)</f>
        <v>#REF!</v>
      </c>
      <c r="F11" s="452" t="e">
        <f>'Statens skalatrin'!L64+('3f (DFF, DPS, LS, DSSV)'!#REF!/12)</f>
        <v>#REF!</v>
      </c>
      <c r="G11" s="1873">
        <f>'Statens skalatrin'!O64</f>
        <v>25159.53</v>
      </c>
      <c r="H11" s="1874"/>
      <c r="I11" s="330">
        <f>G11*$I$8</f>
        <v>3522.3342000000002</v>
      </c>
      <c r="J11" s="235"/>
      <c r="K11" s="231"/>
      <c r="N11" s="234"/>
    </row>
    <row r="12" spans="1:14" s="232" customFormat="1" ht="13.8">
      <c r="B12" s="233"/>
      <c r="C12" s="233"/>
      <c r="D12" s="233"/>
      <c r="E12" s="233"/>
      <c r="F12" s="233"/>
    </row>
    <row r="13" spans="1:14" s="232" customFormat="1" ht="14.4" thickBot="1">
      <c r="B13" s="233"/>
      <c r="C13" s="233"/>
      <c r="D13" s="233"/>
      <c r="E13" s="233"/>
      <c r="F13" s="233"/>
    </row>
    <row r="14" spans="1:14" s="232" customFormat="1" ht="18" thickBot="1">
      <c r="A14" s="1701" t="s">
        <v>275</v>
      </c>
      <c r="B14" s="1702"/>
      <c r="C14" s="1702"/>
      <c r="D14" s="1702"/>
      <c r="E14" s="1702"/>
      <c r="F14" s="1703"/>
    </row>
    <row r="15" spans="1:14" s="232" customFormat="1" ht="15" customHeight="1" thickBot="1">
      <c r="A15" s="1887" t="s">
        <v>168</v>
      </c>
      <c r="B15" s="1888"/>
      <c r="C15" s="1888"/>
      <c r="D15" s="1888"/>
      <c r="E15" s="1888"/>
      <c r="F15" s="1889"/>
    </row>
    <row r="16" spans="1:14" s="232" customFormat="1" ht="16.05" customHeight="1">
      <c r="A16" s="421" t="s">
        <v>57</v>
      </c>
      <c r="B16" s="422" t="s">
        <v>72</v>
      </c>
      <c r="C16" s="421" t="s">
        <v>73</v>
      </c>
      <c r="D16" s="422" t="s">
        <v>74</v>
      </c>
      <c r="E16" s="421" t="s">
        <v>75</v>
      </c>
      <c r="F16" s="423" t="s">
        <v>76</v>
      </c>
    </row>
    <row r="17" spans="1:12" s="232" customFormat="1" ht="16.05" customHeight="1" thickBot="1">
      <c r="A17" s="245" t="s">
        <v>205</v>
      </c>
      <c r="B17" s="453" t="e">
        <f>B9*12/1924</f>
        <v>#REF!</v>
      </c>
      <c r="C17" s="454" t="e">
        <f>C9*12/1924</f>
        <v>#REF!</v>
      </c>
      <c r="D17" s="453" t="e">
        <f>D9*12/1924</f>
        <v>#REF!</v>
      </c>
      <c r="E17" s="454" t="e">
        <f>(E9*12)/1924</f>
        <v>#REF!</v>
      </c>
      <c r="F17" s="455" t="e">
        <f>(F9*12)/1924</f>
        <v>#REF!</v>
      </c>
      <c r="H17" s="231"/>
      <c r="I17" s="231"/>
      <c r="J17" s="231"/>
      <c r="K17" s="231"/>
      <c r="L17" s="231"/>
    </row>
    <row r="18" spans="1:12" s="232" customFormat="1" ht="16.05" customHeight="1">
      <c r="A18" s="241"/>
      <c r="B18" s="240"/>
      <c r="C18" s="240"/>
      <c r="D18" s="240"/>
      <c r="E18" s="240"/>
      <c r="F18" s="240"/>
      <c r="H18" s="231"/>
      <c r="I18" s="231"/>
      <c r="J18" s="231"/>
      <c r="K18" s="231"/>
      <c r="L18" s="231"/>
    </row>
    <row r="19" spans="1:12" s="232" customFormat="1" ht="14.4" thickBot="1">
      <c r="A19" s="241"/>
      <c r="B19" s="240"/>
      <c r="C19" s="240"/>
      <c r="D19" s="240"/>
      <c r="E19" s="240"/>
      <c r="F19" s="240"/>
    </row>
    <row r="20" spans="1:12" ht="19.95" customHeight="1">
      <c r="A20" s="1114" t="s">
        <v>169</v>
      </c>
      <c r="B20" s="1115"/>
      <c r="C20" s="1115"/>
      <c r="D20" s="1115"/>
      <c r="E20" s="1115"/>
      <c r="F20" s="1115"/>
      <c r="G20" s="1115"/>
      <c r="H20" s="1115"/>
      <c r="I20" s="1116"/>
      <c r="J20" s="222"/>
    </row>
    <row r="21" spans="1:12" ht="19.95" customHeight="1" thickBot="1">
      <c r="A21" s="1169" t="s">
        <v>280</v>
      </c>
      <c r="B21" s="1170"/>
      <c r="C21" s="1170"/>
      <c r="D21" s="1170"/>
      <c r="E21" s="1170"/>
      <c r="F21" s="1170"/>
      <c r="G21" s="1170"/>
      <c r="H21" s="1170"/>
      <c r="I21" s="1171"/>
      <c r="J21" s="222"/>
    </row>
    <row r="22" spans="1:12" s="232" customFormat="1" ht="30" customHeight="1" thickBot="1">
      <c r="A22" s="1792"/>
      <c r="B22" s="1793"/>
      <c r="C22" s="1793"/>
      <c r="D22" s="1793"/>
      <c r="E22" s="1793"/>
      <c r="F22" s="1793"/>
      <c r="G22" s="1793"/>
      <c r="H22" s="573" t="s">
        <v>307</v>
      </c>
      <c r="I22" s="568" t="s">
        <v>308</v>
      </c>
    </row>
    <row r="23" spans="1:12" s="232" customFormat="1" ht="14.4" thickBot="1">
      <c r="A23" s="1851"/>
      <c r="B23" s="1852"/>
      <c r="C23" s="1852"/>
      <c r="D23" s="1852"/>
      <c r="E23" s="1852"/>
      <c r="F23" s="1852"/>
      <c r="G23" s="1853"/>
      <c r="H23" s="512">
        <v>40999</v>
      </c>
      <c r="I23" s="575" t="str">
        <f>'Løntabel gældende fra'!D1</f>
        <v>01-08-2026</v>
      </c>
    </row>
    <row r="24" spans="1:12" s="232" customFormat="1" ht="16.95" customHeight="1">
      <c r="A24" s="1885" t="s">
        <v>170</v>
      </c>
      <c r="B24" s="1886"/>
      <c r="C24" s="1886"/>
      <c r="D24" s="1886"/>
      <c r="E24" s="1886"/>
      <c r="F24" s="493"/>
      <c r="G24" s="494" t="s">
        <v>162</v>
      </c>
      <c r="H24" s="158">
        <v>22.32</v>
      </c>
      <c r="I24" s="496">
        <f>H24+(H24*'Løntabel gældende fra'!$D$7%)</f>
        <v>28.41791328</v>
      </c>
    </row>
    <row r="25" spans="1:12" s="232" customFormat="1" ht="16.95" customHeight="1">
      <c r="A25" s="1805" t="s">
        <v>171</v>
      </c>
      <c r="B25" s="1806"/>
      <c r="C25" s="1806"/>
      <c r="D25" s="1806"/>
      <c r="E25" s="1806"/>
      <c r="F25" s="247"/>
      <c r="G25" s="230" t="s">
        <v>162</v>
      </c>
      <c r="H25" s="175">
        <v>39.92</v>
      </c>
      <c r="I25" s="496">
        <f>H25+(H25*'Løntabel gældende fra'!$D$7%)</f>
        <v>50.826303680000002</v>
      </c>
    </row>
    <row r="26" spans="1:12" s="232" customFormat="1" ht="16.95" customHeight="1">
      <c r="A26" s="1797" t="s">
        <v>172</v>
      </c>
      <c r="B26" s="1798"/>
      <c r="C26" s="1798"/>
      <c r="D26" s="1798"/>
      <c r="E26" s="1798"/>
      <c r="F26" s="1798"/>
      <c r="G26" s="230" t="s">
        <v>162</v>
      </c>
      <c r="H26" s="175">
        <v>39.92</v>
      </c>
      <c r="I26" s="496">
        <f>H26+(H26*'Løntabel gældende fra'!$D$7%)</f>
        <v>50.826303680000002</v>
      </c>
    </row>
    <row r="27" spans="1:12" s="232" customFormat="1" ht="16.95" customHeight="1" thickBot="1">
      <c r="A27" s="260" t="s">
        <v>161</v>
      </c>
      <c r="B27" s="259"/>
      <c r="C27" s="259"/>
      <c r="D27" s="259"/>
      <c r="E27" s="244"/>
      <c r="F27" s="244"/>
      <c r="G27" s="254" t="s">
        <v>162</v>
      </c>
      <c r="H27" s="159">
        <v>39.92</v>
      </c>
      <c r="I27" s="486">
        <f>H27+(H27*'Løntabel gældende fra'!$D$7%)</f>
        <v>50.826303680000002</v>
      </c>
    </row>
    <row r="28" spans="1:12" s="232" customFormat="1" ht="13.8">
      <c r="A28" s="222"/>
      <c r="B28" s="222"/>
      <c r="C28" s="222"/>
      <c r="D28" s="222"/>
      <c r="E28" s="222"/>
      <c r="F28" s="223"/>
      <c r="G28" s="222"/>
      <c r="H28" s="223"/>
      <c r="I28" s="222"/>
    </row>
    <row r="29" spans="1:12" s="232" customFormat="1" ht="14.4" thickBot="1">
      <c r="A29" s="222"/>
      <c r="B29" s="222"/>
      <c r="C29" s="222"/>
      <c r="D29" s="222"/>
      <c r="E29" s="222"/>
      <c r="F29" s="223"/>
      <c r="G29" s="222"/>
      <c r="H29" s="223"/>
      <c r="I29" s="222"/>
    </row>
    <row r="30" spans="1:12" s="232" customFormat="1" ht="17.399999999999999">
      <c r="A30" s="1114" t="s">
        <v>173</v>
      </c>
      <c r="B30" s="1115"/>
      <c r="C30" s="1115"/>
      <c r="D30" s="1115"/>
      <c r="E30" s="1115"/>
      <c r="F30" s="1115"/>
      <c r="G30" s="1115"/>
      <c r="H30" s="1115"/>
      <c r="I30" s="1116"/>
    </row>
    <row r="31" spans="1:12" s="232" customFormat="1" ht="15.6" thickBot="1">
      <c r="A31" s="1169" t="s">
        <v>276</v>
      </c>
      <c r="B31" s="1170"/>
      <c r="C31" s="1170"/>
      <c r="D31" s="1170"/>
      <c r="E31" s="1170"/>
      <c r="F31" s="1170"/>
      <c r="G31" s="1170"/>
      <c r="H31" s="1170"/>
      <c r="I31" s="1171"/>
    </row>
    <row r="32" spans="1:12" s="232" customFormat="1" ht="28.2" thickBot="1">
      <c r="A32" s="1851"/>
      <c r="B32" s="1852"/>
      <c r="C32" s="1852"/>
      <c r="D32" s="1852"/>
      <c r="E32" s="1852"/>
      <c r="F32" s="1852"/>
      <c r="G32" s="1853"/>
      <c r="H32" s="573" t="s">
        <v>307</v>
      </c>
      <c r="I32" s="568" t="s">
        <v>308</v>
      </c>
    </row>
    <row r="33" spans="1:9" s="232" customFormat="1" ht="14.4" thickBot="1">
      <c r="A33" s="1882"/>
      <c r="B33" s="1883"/>
      <c r="C33" s="1883"/>
      <c r="D33" s="1883"/>
      <c r="E33" s="1883"/>
      <c r="F33" s="1883"/>
      <c r="G33" s="1884"/>
      <c r="H33" s="512">
        <v>40999</v>
      </c>
      <c r="I33" s="575" t="str">
        <f>'Løntabel gældende fra'!D1</f>
        <v>01-08-2026</v>
      </c>
    </row>
    <row r="34" spans="1:9" s="232" customFormat="1" ht="14.4" thickBot="1">
      <c r="A34" s="1297" t="s">
        <v>268</v>
      </c>
      <c r="B34" s="1298"/>
      <c r="C34" s="1298"/>
      <c r="D34" s="1298"/>
      <c r="E34" s="1298"/>
      <c r="F34" s="521"/>
      <c r="G34" s="522" t="s">
        <v>162</v>
      </c>
      <c r="H34" s="160">
        <v>6.88</v>
      </c>
      <c r="I34" s="486">
        <f>H34+(H34*'Løntabel gældende fra'!D7%)</f>
        <v>8.7596435199999991</v>
      </c>
    </row>
    <row r="35" spans="1:9" s="232" customFormat="1" ht="13.8">
      <c r="A35" s="222"/>
      <c r="B35" s="222"/>
      <c r="C35" s="222"/>
      <c r="D35" s="222"/>
      <c r="E35" s="222"/>
      <c r="F35" s="223"/>
      <c r="G35" s="222"/>
      <c r="H35" s="223"/>
      <c r="I35" s="222"/>
    </row>
    <row r="36" spans="1:9" s="232" customFormat="1" ht="14.4" thickBot="1">
      <c r="A36" s="222"/>
      <c r="B36" s="222"/>
      <c r="C36" s="222"/>
      <c r="D36" s="222"/>
      <c r="E36" s="222"/>
      <c r="F36" s="223"/>
      <c r="G36" s="222"/>
      <c r="H36" s="223"/>
      <c r="I36" s="222"/>
    </row>
    <row r="37" spans="1:9" s="232" customFormat="1" ht="17.399999999999999">
      <c r="A37" s="1114" t="s">
        <v>293</v>
      </c>
      <c r="B37" s="1115"/>
      <c r="C37" s="1115"/>
      <c r="D37" s="1115"/>
      <c r="E37" s="1115"/>
      <c r="F37" s="1115"/>
      <c r="G37" s="1115"/>
      <c r="H37" s="1115"/>
      <c r="I37" s="1116"/>
    </row>
    <row r="38" spans="1:9" s="232" customFormat="1" ht="15.6" thickBot="1">
      <c r="A38" s="1072" t="s">
        <v>280</v>
      </c>
      <c r="B38" s="1073"/>
      <c r="C38" s="1073"/>
      <c r="D38" s="1073"/>
      <c r="E38" s="1073"/>
      <c r="F38" s="1073"/>
      <c r="G38" s="1073"/>
      <c r="H38" s="1073"/>
      <c r="I38" s="1074"/>
    </row>
    <row r="39" spans="1:9" s="232" customFormat="1" ht="33" customHeight="1">
      <c r="A39" s="1857"/>
      <c r="B39" s="1858"/>
      <c r="C39" s="1858"/>
      <c r="D39" s="1858"/>
      <c r="E39" s="1858"/>
      <c r="F39" s="1858"/>
      <c r="G39" s="1859"/>
      <c r="H39" s="571" t="s">
        <v>128</v>
      </c>
      <c r="I39" s="567" t="s">
        <v>306</v>
      </c>
    </row>
    <row r="40" spans="1:9" s="232" customFormat="1" ht="14.4" thickBot="1">
      <c r="A40" s="1879"/>
      <c r="B40" s="1880"/>
      <c r="C40" s="1880"/>
      <c r="D40" s="1880"/>
      <c r="E40" s="1880"/>
      <c r="F40" s="1880"/>
      <c r="G40" s="1881"/>
      <c r="H40" s="512">
        <v>40999</v>
      </c>
      <c r="I40" s="575" t="str">
        <f>'Løntabel gældende fra'!D1</f>
        <v>01-08-2026</v>
      </c>
    </row>
    <row r="41" spans="1:9" s="232" customFormat="1" ht="14.4" thickBot="1">
      <c r="A41" s="1297" t="s">
        <v>269</v>
      </c>
      <c r="B41" s="1298"/>
      <c r="C41" s="1298"/>
      <c r="D41" s="1298"/>
      <c r="E41" s="1298"/>
      <c r="F41" s="521"/>
      <c r="G41" s="522"/>
      <c r="H41" s="160">
        <v>655</v>
      </c>
      <c r="I41" s="486">
        <f>H41+(H41*'Løntabel gældende fra'!D7%)</f>
        <v>833.94862000000001</v>
      </c>
    </row>
    <row r="42" spans="1:9" s="232" customFormat="1" ht="13.8">
      <c r="A42" s="222"/>
      <c r="B42" s="222"/>
      <c r="C42" s="222"/>
      <c r="D42" s="222"/>
      <c r="E42" s="222"/>
      <c r="F42" s="223"/>
      <c r="G42" s="222"/>
      <c r="H42" s="223"/>
      <c r="I42" s="222"/>
    </row>
    <row r="43" spans="1:9" s="232" customFormat="1" ht="14.4" thickBot="1">
      <c r="A43" s="222"/>
      <c r="B43" s="222"/>
      <c r="C43" s="222"/>
      <c r="D43" s="222"/>
      <c r="E43" s="222"/>
      <c r="F43" s="223"/>
      <c r="G43" s="222"/>
      <c r="H43" s="223"/>
      <c r="I43" s="222"/>
    </row>
    <row r="44" spans="1:9" s="232" customFormat="1" ht="17.399999999999999">
      <c r="A44" s="1114" t="s">
        <v>292</v>
      </c>
      <c r="B44" s="1115"/>
      <c r="C44" s="1115"/>
      <c r="D44" s="1115"/>
      <c r="E44" s="1115"/>
      <c r="F44" s="1115"/>
      <c r="G44" s="1115"/>
      <c r="H44" s="1115"/>
      <c r="I44" s="1116"/>
    </row>
    <row r="45" spans="1:9" s="232" customFormat="1" ht="15.6" thickBot="1">
      <c r="A45" s="1072" t="s">
        <v>276</v>
      </c>
      <c r="B45" s="1073"/>
      <c r="C45" s="1073"/>
      <c r="D45" s="1073"/>
      <c r="E45" s="1073"/>
      <c r="F45" s="1073"/>
      <c r="G45" s="1073"/>
      <c r="H45" s="1073"/>
      <c r="I45" s="1074"/>
    </row>
    <row r="46" spans="1:9" s="232" customFormat="1" ht="27.6">
      <c r="A46" s="1294"/>
      <c r="B46" s="1295"/>
      <c r="C46" s="1295"/>
      <c r="D46" s="1295"/>
      <c r="E46" s="1295"/>
      <c r="F46" s="1295"/>
      <c r="G46" s="1296"/>
      <c r="H46" s="571" t="s">
        <v>128</v>
      </c>
      <c r="I46" s="567" t="s">
        <v>306</v>
      </c>
    </row>
    <row r="47" spans="1:9" s="232" customFormat="1" ht="14.4" thickBot="1">
      <c r="A47" s="1297"/>
      <c r="B47" s="1298"/>
      <c r="C47" s="1298"/>
      <c r="D47" s="1298"/>
      <c r="E47" s="1298"/>
      <c r="F47" s="1298"/>
      <c r="G47" s="1299"/>
      <c r="H47" s="512">
        <v>40999</v>
      </c>
      <c r="I47" s="575" t="str">
        <f>'Løntabel gældende fra'!D1</f>
        <v>01-08-2026</v>
      </c>
    </row>
    <row r="48" spans="1:9" s="232" customFormat="1" ht="14.4" thickBot="1">
      <c r="A48" s="1297" t="s">
        <v>181</v>
      </c>
      <c r="B48" s="1298"/>
      <c r="C48" s="1298"/>
      <c r="D48" s="1298"/>
      <c r="E48" s="1298"/>
      <c r="F48" s="521"/>
      <c r="G48" s="522"/>
      <c r="H48" s="160">
        <v>10500</v>
      </c>
      <c r="I48" s="486">
        <f>H48+(H48*'Løntabel gældende fra'!D7%)</f>
        <v>13368.642</v>
      </c>
    </row>
    <row r="49" spans="1:10" s="232" customFormat="1" ht="13.8"/>
    <row r="50" spans="1:10" s="232" customFormat="1" ht="14.4" thickBot="1"/>
    <row r="51" spans="1:10" s="232" customFormat="1" ht="17.399999999999999">
      <c r="A51" s="1114" t="s">
        <v>291</v>
      </c>
      <c r="B51" s="1115"/>
      <c r="C51" s="1115"/>
      <c r="D51" s="1115"/>
      <c r="E51" s="1115"/>
      <c r="F51" s="1115"/>
      <c r="G51" s="1115"/>
      <c r="H51" s="1115"/>
      <c r="I51" s="1116"/>
    </row>
    <row r="52" spans="1:10" s="232" customFormat="1" ht="15.6" thickBot="1">
      <c r="A52" s="1169" t="s">
        <v>276</v>
      </c>
      <c r="B52" s="1170"/>
      <c r="C52" s="1170"/>
      <c r="D52" s="1170"/>
      <c r="E52" s="1170"/>
      <c r="F52" s="1170"/>
      <c r="G52" s="1170"/>
      <c r="H52" s="1170"/>
      <c r="I52" s="1171"/>
    </row>
    <row r="53" spans="1:10" s="232" customFormat="1" ht="13.8">
      <c r="A53" s="1854" t="s">
        <v>355</v>
      </c>
      <c r="B53" s="1855"/>
      <c r="C53" s="1855"/>
      <c r="D53" s="1855"/>
      <c r="E53" s="1855"/>
      <c r="F53" s="1855"/>
      <c r="G53" s="1856"/>
      <c r="H53" s="517" t="s">
        <v>95</v>
      </c>
      <c r="I53" s="518" t="s">
        <v>100</v>
      </c>
    </row>
    <row r="54" spans="1:10" s="232" customFormat="1" ht="14.4" thickBot="1">
      <c r="A54" s="1787"/>
      <c r="B54" s="1788"/>
      <c r="C54" s="1788"/>
      <c r="D54" s="1788"/>
      <c r="E54" s="1788"/>
      <c r="F54" s="1788"/>
      <c r="G54" s="1789"/>
      <c r="H54" s="519">
        <v>40999</v>
      </c>
      <c r="I54" s="575" t="str">
        <f>'Løntabel gældende fra'!D1</f>
        <v>01-08-2026</v>
      </c>
    </row>
    <row r="55" spans="1:10" s="232" customFormat="1" ht="14.4" thickBot="1">
      <c r="A55" s="1790" t="s">
        <v>273</v>
      </c>
      <c r="B55" s="1791"/>
      <c r="C55" s="1791"/>
      <c r="D55" s="1791"/>
      <c r="E55" s="1791"/>
      <c r="F55" s="228"/>
      <c r="G55" s="239"/>
      <c r="H55" s="297">
        <v>0</v>
      </c>
      <c r="I55" s="290">
        <v>0</v>
      </c>
    </row>
    <row r="56" spans="1:10" s="232" customFormat="1" ht="13.8"/>
    <row r="57" spans="1:10" s="232" customFormat="1" ht="13.8">
      <c r="A57" s="1878"/>
      <c r="B57" s="1878"/>
      <c r="C57" s="1878"/>
      <c r="D57" s="1878"/>
      <c r="E57" s="1878"/>
      <c r="F57" s="1878"/>
      <c r="G57" s="1878"/>
      <c r="H57" s="1878"/>
      <c r="I57" s="1878"/>
      <c r="J57" s="1878"/>
    </row>
    <row r="58" spans="1:10" s="232" customFormat="1" ht="13.8">
      <c r="A58" s="487"/>
    </row>
    <row r="59" spans="1:10" s="232" customFormat="1" ht="13.8"/>
    <row r="60" spans="1:10" s="232" customFormat="1" ht="13.8"/>
    <row r="61" spans="1:10" s="232" customFormat="1" ht="13.8"/>
    <row r="62" spans="1:10" s="232" customFormat="1" ht="13.8"/>
    <row r="72" s="232" customFormat="1" ht="13.8"/>
    <row r="73" s="232" customFormat="1" ht="13.8"/>
    <row r="74" s="232" customFormat="1" ht="13.8"/>
    <row r="75" s="232" customFormat="1" ht="13.8"/>
    <row r="76" s="232" customFormat="1" ht="13.8"/>
    <row r="77" s="232" customFormat="1" ht="13.8"/>
    <row r="78" s="232" customFormat="1" ht="13.8"/>
    <row r="79" s="232" customFormat="1" ht="13.8"/>
    <row r="80" s="232" customFormat="1" ht="13.8"/>
    <row r="81" s="232" customFormat="1" ht="13.8"/>
    <row r="82" s="232" customFormat="1" ht="13.8"/>
    <row r="83" s="232" customFormat="1" ht="13.8"/>
    <row r="84" s="232" customFormat="1" ht="13.8"/>
    <row r="85" s="232" customFormat="1" ht="13.8"/>
    <row r="86" s="232" customFormat="1" ht="13.8"/>
    <row r="87" s="232" customFormat="1" ht="13.8"/>
    <row r="88" s="232" customFormat="1" ht="13.8"/>
    <row r="89" s="232" customFormat="1" ht="13.8"/>
    <row r="90" s="232" customFormat="1" ht="13.8"/>
    <row r="91" s="232" customFormat="1" ht="13.8"/>
    <row r="92" s="232" customFormat="1" ht="13.8"/>
    <row r="93" s="232" customFormat="1" ht="13.8"/>
    <row r="94" s="232" customFormat="1" ht="13.8"/>
    <row r="95" s="232" customFormat="1" ht="13.8"/>
    <row r="96" s="232" customFormat="1" ht="13.8"/>
    <row r="97" s="232" customFormat="1" ht="13.8"/>
    <row r="98" s="232" customFormat="1" ht="13.8"/>
    <row r="99" s="232" customFormat="1" ht="13.8"/>
    <row r="100" s="232" customFormat="1" ht="13.8"/>
    <row r="101" s="232" customFormat="1" ht="13.8"/>
    <row r="102" s="232" customFormat="1" ht="13.8"/>
    <row r="103" s="232" customFormat="1" ht="13.8"/>
    <row r="104" s="232" customFormat="1" ht="13.8"/>
    <row r="105" s="232" customFormat="1" ht="13.8"/>
    <row r="106" s="232" customFormat="1" ht="13.8"/>
    <row r="107" s="232" customFormat="1" ht="13.8"/>
    <row r="108" s="232" customFormat="1" ht="13.8"/>
    <row r="109" s="232" customFormat="1" ht="13.8"/>
    <row r="110" s="232" customFormat="1" ht="13.8"/>
    <row r="111" s="232" customFormat="1" ht="13.8"/>
    <row r="112" s="232" customFormat="1" ht="13.8"/>
    <row r="113" s="232" customFormat="1" ht="13.8"/>
    <row r="114" s="232" customFormat="1" ht="13.8"/>
    <row r="115" s="232" customFormat="1" ht="13.8"/>
    <row r="116" s="232" customFormat="1" ht="13.8"/>
    <row r="117" s="232" customFormat="1" ht="13.8"/>
    <row r="118" s="232" customFormat="1" ht="13.8"/>
    <row r="119" s="232" customFormat="1" ht="13.8"/>
    <row r="120" s="232" customFormat="1" ht="13.8"/>
    <row r="121" s="232" customFormat="1" ht="13.8"/>
    <row r="122" s="232" customFormat="1" ht="13.8"/>
    <row r="123" s="232" customFormat="1" ht="13.8"/>
    <row r="124" s="232" customFormat="1" ht="13.8"/>
    <row r="125" s="232" customFormat="1" ht="13.8"/>
    <row r="126" s="232" customFormat="1" ht="13.8"/>
    <row r="127" s="232" customFormat="1" ht="13.8"/>
    <row r="128" s="232" customFormat="1" ht="13.8"/>
    <row r="129" s="232" customFormat="1" ht="13.8"/>
    <row r="130" s="232" customFormat="1" ht="13.8"/>
    <row r="131" s="232" customFormat="1" ht="13.8"/>
    <row r="132" s="232" customFormat="1" ht="13.8"/>
    <row r="133" s="232" customFormat="1" ht="13.8"/>
    <row r="134" s="232" customFormat="1" ht="13.8"/>
    <row r="135" s="232" customFormat="1" ht="13.8"/>
    <row r="136" s="232" customFormat="1" ht="13.8"/>
    <row r="137" s="232" customFormat="1" ht="13.8"/>
    <row r="138" s="232" customFormat="1" ht="13.8"/>
    <row r="139" s="232" customFormat="1" ht="13.8"/>
    <row r="140" s="232" customFormat="1" ht="13.8"/>
    <row r="141" s="232" customFormat="1" ht="13.8"/>
    <row r="142" s="232" customFormat="1" ht="13.8"/>
    <row r="143" s="232" customFormat="1" ht="13.8"/>
    <row r="144" s="232" customFormat="1" ht="13.8"/>
    <row r="145" s="232" customFormat="1" ht="13.8"/>
    <row r="146" s="232" customFormat="1" ht="13.8"/>
    <row r="147" s="232" customFormat="1" ht="13.8"/>
    <row r="148" s="232" customFormat="1" ht="13.8"/>
    <row r="149" s="232" customFormat="1" ht="13.8"/>
    <row r="150" s="232" customFormat="1" ht="13.8"/>
    <row r="151" s="232" customFormat="1" ht="13.8"/>
    <row r="152" s="232" customFormat="1" ht="13.8"/>
    <row r="153" s="232" customFormat="1" ht="13.8"/>
  </sheetData>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8"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topLeftCell="A52" workbookViewId="0">
      <selection activeCell="K17" sqref="K17"/>
    </sheetView>
  </sheetViews>
  <sheetFormatPr defaultColWidth="8.77734375" defaultRowHeight="13.2"/>
  <cols>
    <col min="1" max="2" width="11.6640625" style="206" customWidth="1"/>
    <col min="3" max="4" width="13.77734375" style="206" customWidth="1"/>
    <col min="5" max="5" width="13.77734375" style="207" customWidth="1"/>
    <col min="6" max="6" width="13.77734375" style="206" customWidth="1"/>
    <col min="7" max="8" width="13.77734375" style="208" customWidth="1"/>
    <col min="9" max="10" width="13.77734375" style="206" customWidth="1"/>
    <col min="11" max="11" width="11.6640625" style="206" customWidth="1"/>
    <col min="12" max="16384" width="8.77734375" style="206"/>
  </cols>
  <sheetData>
    <row r="1" spans="1:10" s="2" customFormat="1" ht="22.05" customHeight="1">
      <c r="A1" s="1223" t="s">
        <v>19</v>
      </c>
      <c r="B1" s="1224"/>
      <c r="C1" s="1224"/>
      <c r="D1" s="1224"/>
      <c r="E1" s="1224"/>
      <c r="F1" s="1224"/>
      <c r="G1" s="1224"/>
      <c r="H1" s="1224"/>
      <c r="I1" s="1224"/>
      <c r="J1" s="1225"/>
    </row>
    <row r="2" spans="1:10" s="2" customFormat="1" ht="22.05" customHeight="1">
      <c r="A2" s="1237" t="s">
        <v>394</v>
      </c>
      <c r="B2" s="1238"/>
      <c r="C2" s="1238"/>
      <c r="D2" s="1238"/>
      <c r="E2" s="1238"/>
      <c r="F2" s="1238"/>
      <c r="G2" s="1238"/>
      <c r="H2" s="1238"/>
      <c r="I2" s="1238"/>
      <c r="J2" s="1239"/>
    </row>
    <row r="3" spans="1:10" s="523" customFormat="1" ht="25.05" customHeight="1">
      <c r="A3" s="1237" t="str">
        <f>'Forside 1'!A6:I6</f>
        <v>Gældende fra 1. august 2026</v>
      </c>
      <c r="B3" s="1238"/>
      <c r="C3" s="1238"/>
      <c r="D3" s="1238"/>
      <c r="E3" s="1238"/>
      <c r="F3" s="1238"/>
      <c r="G3" s="1238"/>
      <c r="H3" s="1238"/>
      <c r="I3" s="1238"/>
      <c r="J3" s="1239"/>
    </row>
    <row r="4" spans="1:10" s="523" customFormat="1" ht="25.05" customHeight="1">
      <c r="A4" s="1930" t="s">
        <v>434</v>
      </c>
      <c r="B4" s="1931"/>
      <c r="C4" s="1931"/>
      <c r="D4" s="1931"/>
      <c r="E4" s="1931"/>
      <c r="F4" s="1931"/>
      <c r="G4" s="1931"/>
      <c r="H4" s="1931"/>
      <c r="I4" s="1931"/>
      <c r="J4" s="1932"/>
    </row>
    <row r="5" spans="1:10" s="2" customFormat="1" ht="19.05" customHeight="1" thickBot="1">
      <c r="A5" s="1927" t="s">
        <v>435</v>
      </c>
      <c r="B5" s="1928"/>
      <c r="C5" s="1928"/>
      <c r="D5" s="1928"/>
      <c r="E5" s="1928"/>
      <c r="F5" s="1928"/>
      <c r="G5" s="1928"/>
      <c r="H5" s="1928"/>
      <c r="I5" s="1928"/>
      <c r="J5" s="1929"/>
    </row>
    <row r="6" spans="1:10" ht="21.6" thickBot="1">
      <c r="A6" s="1820"/>
      <c r="B6" s="1820"/>
      <c r="C6" s="1820"/>
      <c r="D6" s="1820"/>
      <c r="E6" s="1820"/>
      <c r="F6" s="1820"/>
      <c r="G6" s="1820"/>
      <c r="H6" s="1820"/>
    </row>
    <row r="7" spans="1:10" ht="17.399999999999999">
      <c r="A7" s="1810" t="s">
        <v>395</v>
      </c>
      <c r="B7" s="1811"/>
      <c r="C7" s="1811"/>
      <c r="D7" s="1811"/>
      <c r="E7" s="1811"/>
      <c r="F7" s="1811"/>
      <c r="G7" s="1811"/>
      <c r="H7" s="1811"/>
      <c r="I7" s="1811"/>
      <c r="J7" s="1812"/>
    </row>
    <row r="8" spans="1:10" ht="15.6" thickBot="1">
      <c r="A8" s="1904" t="s">
        <v>396</v>
      </c>
      <c r="B8" s="1905"/>
      <c r="C8" s="1905"/>
      <c r="D8" s="1905"/>
      <c r="E8" s="1905"/>
      <c r="F8" s="1905"/>
      <c r="G8" s="1905"/>
      <c r="H8" s="1905"/>
      <c r="I8" s="1905"/>
      <c r="J8" s="1906"/>
    </row>
    <row r="9" spans="1:10" ht="16.05" customHeight="1" thickBot="1">
      <c r="A9" s="1907" t="s">
        <v>407</v>
      </c>
      <c r="B9" s="1908"/>
      <c r="C9" s="1908"/>
      <c r="D9" s="1908"/>
      <c r="E9" s="1908"/>
      <c r="F9" s="1909"/>
      <c r="G9" s="1907" t="s">
        <v>165</v>
      </c>
      <c r="H9" s="1908"/>
      <c r="I9" s="1908"/>
      <c r="J9" s="1909"/>
    </row>
    <row r="10" spans="1:10" ht="30" customHeight="1" thickBot="1">
      <c r="A10" s="729" t="s">
        <v>57</v>
      </c>
      <c r="B10" s="730" t="s">
        <v>72</v>
      </c>
      <c r="C10" s="731" t="s">
        <v>73</v>
      </c>
      <c r="D10" s="731" t="s">
        <v>74</v>
      </c>
      <c r="E10" s="731" t="s">
        <v>75</v>
      </c>
      <c r="F10" s="732" t="s">
        <v>76</v>
      </c>
      <c r="G10" s="729" t="s">
        <v>182</v>
      </c>
      <c r="H10" s="749" t="s">
        <v>183</v>
      </c>
      <c r="I10" s="744" t="s">
        <v>184</v>
      </c>
      <c r="J10" s="842">
        <v>0.17299999999999999</v>
      </c>
    </row>
    <row r="11" spans="1:10" ht="16.05" customHeight="1">
      <c r="A11" s="347">
        <v>9</v>
      </c>
      <c r="B11" s="726">
        <f>'Statens skalatrin'!D31</f>
        <v>22262.92</v>
      </c>
      <c r="C11" s="727">
        <f>'Statens skalatrin'!F31</f>
        <v>22707.08</v>
      </c>
      <c r="D11" s="727">
        <f>'Statens skalatrin'!H31</f>
        <v>23014.83</v>
      </c>
      <c r="E11" s="727">
        <f>'Statens skalatrin'!J31</f>
        <v>23459</v>
      </c>
      <c r="F11" s="728">
        <f>'Statens skalatrin'!L31</f>
        <v>23766.67</v>
      </c>
      <c r="G11" s="840">
        <f>'Statens skalatrin'!O31</f>
        <v>20727.259999999998</v>
      </c>
      <c r="H11" s="843">
        <f>J11*1/3</f>
        <v>1195.2733333333333</v>
      </c>
      <c r="I11" s="844">
        <f>J11*2/3</f>
        <v>2390.5466666666666</v>
      </c>
      <c r="J11" s="845">
        <f>ROUND(G11*$J$10,2)</f>
        <v>3585.82</v>
      </c>
    </row>
    <row r="12" spans="1:10" ht="16.05" customHeight="1">
      <c r="A12" s="725">
        <v>10</v>
      </c>
      <c r="B12" s="723">
        <f>'Statens skalatrin'!D34</f>
        <v>22636.83</v>
      </c>
      <c r="C12" s="709">
        <f>'Statens skalatrin'!F34</f>
        <v>23092.33</v>
      </c>
      <c r="D12" s="709">
        <f>'Statens skalatrin'!H34</f>
        <v>23407.5</v>
      </c>
      <c r="E12" s="709">
        <f>'Statens skalatrin'!J34</f>
        <v>23862.92</v>
      </c>
      <c r="F12" s="714">
        <f>'Statens skalatrin'!L34</f>
        <v>24178.33</v>
      </c>
      <c r="G12" s="688">
        <f>'Statens skalatrin'!O34</f>
        <v>21077.84</v>
      </c>
      <c r="H12" s="846">
        <f t="shared" ref="H12:H16" si="0">J12*1/3</f>
        <v>1215.49</v>
      </c>
      <c r="I12" s="708">
        <f t="shared" ref="I12:I16" si="1">J12*2/3</f>
        <v>2430.98</v>
      </c>
      <c r="J12" s="733">
        <f t="shared" ref="J12:J16" si="2">ROUND(G12*$J$10,2)</f>
        <v>3646.47</v>
      </c>
    </row>
    <row r="13" spans="1:10" ht="16.05" customHeight="1">
      <c r="A13" s="725">
        <v>11</v>
      </c>
      <c r="B13" s="723">
        <f>'Statens skalatrin'!D37</f>
        <v>22931.919999999998</v>
      </c>
      <c r="C13" s="709">
        <f>'Statens skalatrin'!F37</f>
        <v>23398.58</v>
      </c>
      <c r="D13" s="709">
        <f>'Statens skalatrin'!H37</f>
        <v>23721.83</v>
      </c>
      <c r="E13" s="709">
        <f>'Statens skalatrin'!J37</f>
        <v>24188.58</v>
      </c>
      <c r="F13" s="714">
        <f>'Statens skalatrin'!L37</f>
        <v>24511.58</v>
      </c>
      <c r="G13" s="688">
        <f>'Statens skalatrin'!O37</f>
        <v>21437.99</v>
      </c>
      <c r="H13" s="846">
        <f t="shared" si="0"/>
        <v>1236.2566666666667</v>
      </c>
      <c r="I13" s="708">
        <f t="shared" si="1"/>
        <v>2472.5133333333333</v>
      </c>
      <c r="J13" s="733">
        <f t="shared" si="2"/>
        <v>3708.77</v>
      </c>
    </row>
    <row r="14" spans="1:10" ht="16.05" customHeight="1">
      <c r="A14" s="725">
        <v>12</v>
      </c>
      <c r="B14" s="723">
        <f>'Statens skalatrin'!D40</f>
        <v>23326.67</v>
      </c>
      <c r="C14" s="709">
        <f>'Statens skalatrin'!F40</f>
        <v>23805.17</v>
      </c>
      <c r="D14" s="709">
        <f>'Statens skalatrin'!H40</f>
        <v>24136.67</v>
      </c>
      <c r="E14" s="709">
        <f>'Statens skalatrin'!J40</f>
        <v>24615</v>
      </c>
      <c r="F14" s="714">
        <f>'Statens skalatrin'!L40</f>
        <v>24946.17</v>
      </c>
      <c r="G14" s="688">
        <f>'Statens skalatrin'!O40</f>
        <v>21808.09</v>
      </c>
      <c r="H14" s="846">
        <f t="shared" si="0"/>
        <v>1257.6000000000001</v>
      </c>
      <c r="I14" s="708">
        <f t="shared" si="1"/>
        <v>2515.2000000000003</v>
      </c>
      <c r="J14" s="733">
        <f t="shared" si="2"/>
        <v>3772.8</v>
      </c>
    </row>
    <row r="15" spans="1:10" ht="16.05" customHeight="1">
      <c r="A15" s="725">
        <v>13</v>
      </c>
      <c r="B15" s="723">
        <f>'Statens skalatrin'!D43</f>
        <v>23732.67</v>
      </c>
      <c r="C15" s="709">
        <f>'Statens skalatrin'!F43</f>
        <v>24223.17</v>
      </c>
      <c r="D15" s="709">
        <f>'Statens skalatrin'!H43</f>
        <v>24562.67</v>
      </c>
      <c r="E15" s="709">
        <f>'Statens skalatrin'!J43</f>
        <v>25053.33</v>
      </c>
      <c r="F15" s="714">
        <f>'Statens skalatrin'!L43</f>
        <v>25392.75</v>
      </c>
      <c r="G15" s="688">
        <f>'Statens skalatrin'!O43</f>
        <v>22188.35</v>
      </c>
      <c r="H15" s="846">
        <f t="shared" si="0"/>
        <v>1279.5266666666666</v>
      </c>
      <c r="I15" s="708">
        <f t="shared" si="1"/>
        <v>2559.0533333333333</v>
      </c>
      <c r="J15" s="733">
        <f t="shared" si="2"/>
        <v>3838.58</v>
      </c>
    </row>
    <row r="16" spans="1:10" ht="16.05" customHeight="1" thickBot="1">
      <c r="A16" s="289">
        <v>14</v>
      </c>
      <c r="B16" s="724">
        <f>'Statens skalatrin'!D46</f>
        <v>24149.58</v>
      </c>
      <c r="C16" s="717">
        <f>'Statens skalatrin'!F46</f>
        <v>24652.5</v>
      </c>
      <c r="D16" s="717">
        <f>'Statens skalatrin'!H46</f>
        <v>25000.67</v>
      </c>
      <c r="E16" s="717">
        <f>'Statens skalatrin'!J46</f>
        <v>25503.42</v>
      </c>
      <c r="F16" s="718">
        <f>'Statens skalatrin'!L46</f>
        <v>25851.58</v>
      </c>
      <c r="G16" s="841">
        <f>'Statens skalatrin'!O46</f>
        <v>22579.13</v>
      </c>
      <c r="H16" s="847">
        <f t="shared" si="0"/>
        <v>1302.0633333333333</v>
      </c>
      <c r="I16" s="719">
        <f t="shared" si="1"/>
        <v>2604.1266666666666</v>
      </c>
      <c r="J16" s="848">
        <f t="shared" si="2"/>
        <v>3906.19</v>
      </c>
    </row>
    <row r="17" spans="1:11" ht="15" customHeight="1" thickBot="1">
      <c r="A17" s="795"/>
      <c r="B17" s="772"/>
      <c r="C17" s="720"/>
      <c r="D17" s="720"/>
      <c r="E17" s="720"/>
      <c r="F17" s="720"/>
      <c r="G17" s="736"/>
      <c r="H17" s="721"/>
      <c r="I17" s="721"/>
      <c r="J17" s="721"/>
      <c r="K17" s="721"/>
    </row>
    <row r="18" spans="1:11" ht="19.95" customHeight="1">
      <c r="A18" s="1810" t="s">
        <v>397</v>
      </c>
      <c r="B18" s="1811"/>
      <c r="C18" s="1811"/>
      <c r="D18" s="1811"/>
      <c r="E18" s="1811"/>
      <c r="F18" s="1811"/>
      <c r="G18" s="1811"/>
      <c r="H18" s="1811"/>
      <c r="I18" s="1811"/>
      <c r="J18" s="1812"/>
    </row>
    <row r="19" spans="1:11" ht="19.95" customHeight="1" thickBot="1">
      <c r="A19" s="1904" t="s">
        <v>396</v>
      </c>
      <c r="B19" s="1905"/>
      <c r="C19" s="1905"/>
      <c r="D19" s="1905"/>
      <c r="E19" s="1905"/>
      <c r="F19" s="1905"/>
      <c r="G19" s="1905"/>
      <c r="H19" s="1905"/>
      <c r="I19" s="1905"/>
      <c r="J19" s="1906"/>
    </row>
    <row r="20" spans="1:11" ht="19.95" customHeight="1" thickBot="1">
      <c r="A20" s="1907" t="s">
        <v>407</v>
      </c>
      <c r="B20" s="1908"/>
      <c r="C20" s="1908"/>
      <c r="D20" s="1908"/>
      <c r="E20" s="1908"/>
      <c r="F20" s="1909"/>
      <c r="G20" s="1907" t="s">
        <v>165</v>
      </c>
      <c r="H20" s="1910"/>
      <c r="I20" s="1910"/>
      <c r="J20" s="1911"/>
    </row>
    <row r="21" spans="1:11" ht="30" customHeight="1" thickBot="1">
      <c r="A21" s="729" t="s">
        <v>57</v>
      </c>
      <c r="B21" s="749" t="s">
        <v>72</v>
      </c>
      <c r="C21" s="744" t="s">
        <v>73</v>
      </c>
      <c r="D21" s="744" t="s">
        <v>74</v>
      </c>
      <c r="E21" s="744" t="s">
        <v>75</v>
      </c>
      <c r="F21" s="745" t="s">
        <v>76</v>
      </c>
      <c r="G21" s="430" t="s">
        <v>182</v>
      </c>
      <c r="H21" s="734" t="s">
        <v>183</v>
      </c>
      <c r="I21" s="731" t="s">
        <v>184</v>
      </c>
      <c r="J21" s="735">
        <f>J10</f>
        <v>0.17299999999999999</v>
      </c>
    </row>
    <row r="22" spans="1:11" ht="16.05" customHeight="1">
      <c r="A22" s="737">
        <v>16</v>
      </c>
      <c r="B22" s="746">
        <f>'Statens skalatrin'!D52</f>
        <v>24906.33</v>
      </c>
      <c r="C22" s="747">
        <f>'Statens skalatrin'!F52</f>
        <v>25434.92</v>
      </c>
      <c r="D22" s="747">
        <f>'Statens skalatrin'!H52</f>
        <v>25800.92</v>
      </c>
      <c r="E22" s="747">
        <f>'Statens skalatrin'!J52</f>
        <v>26329.42</v>
      </c>
      <c r="F22" s="748">
        <f>'Statens skalatrin'!L52</f>
        <v>26695.5</v>
      </c>
      <c r="G22" s="741">
        <f>'Statens skalatrin'!O52</f>
        <v>23393.06</v>
      </c>
      <c r="H22" s="843">
        <f>J22*1/3</f>
        <v>1349</v>
      </c>
      <c r="I22" s="844">
        <f>J22*2/3</f>
        <v>2698</v>
      </c>
      <c r="J22" s="845">
        <f>ROUND(G22*$J$10,2)</f>
        <v>4047</v>
      </c>
    </row>
    <row r="23" spans="1:11" ht="16.05" customHeight="1">
      <c r="A23" s="712">
        <v>18</v>
      </c>
      <c r="B23" s="713">
        <f>'Statens skalatrin'!D58</f>
        <v>25823.42</v>
      </c>
      <c r="C23" s="709">
        <f>'Statens skalatrin'!F58</f>
        <v>26379.33</v>
      </c>
      <c r="D23" s="709">
        <f>'Statens skalatrin'!H58</f>
        <v>26764</v>
      </c>
      <c r="E23" s="709">
        <f>'Statens skalatrin'!J58</f>
        <v>27319.75</v>
      </c>
      <c r="F23" s="714">
        <f>'Statens skalatrin'!L58</f>
        <v>27704.42</v>
      </c>
      <c r="G23" s="742">
        <f>'Statens skalatrin'!O58</f>
        <v>24252.36</v>
      </c>
      <c r="H23" s="846">
        <f t="shared" ref="H23:H27" si="3">J23*1/3</f>
        <v>1398.5533333333333</v>
      </c>
      <c r="I23" s="708">
        <f t="shared" ref="I23:I27" si="4">J23*2/3</f>
        <v>2797.1066666666666</v>
      </c>
      <c r="J23" s="733">
        <f t="shared" ref="J23:J27" si="5">ROUND(G23*$J$10,2)</f>
        <v>4195.66</v>
      </c>
    </row>
    <row r="24" spans="1:11" s="524" customFormat="1" ht="16.05" customHeight="1">
      <c r="A24" s="712">
        <v>20</v>
      </c>
      <c r="B24" s="713">
        <f>'Statens skalatrin'!D64</f>
        <v>26530.67</v>
      </c>
      <c r="C24" s="709">
        <f>'Statens skalatrin'!F64</f>
        <v>27115</v>
      </c>
      <c r="D24" s="709">
        <f>'Statens skalatrin'!H64</f>
        <v>27519.67</v>
      </c>
      <c r="E24" s="709">
        <f>'Statens skalatrin'!J64</f>
        <v>28104.080000000002</v>
      </c>
      <c r="F24" s="714">
        <f>'Statens skalatrin'!L64</f>
        <v>28508.5</v>
      </c>
      <c r="G24" s="742">
        <f>'Statens skalatrin'!O64</f>
        <v>25159.53</v>
      </c>
      <c r="H24" s="846">
        <f t="shared" si="3"/>
        <v>1450.8666666666668</v>
      </c>
      <c r="I24" s="708">
        <f t="shared" si="4"/>
        <v>2901.7333333333336</v>
      </c>
      <c r="J24" s="733">
        <f t="shared" si="5"/>
        <v>4352.6000000000004</v>
      </c>
    </row>
    <row r="25" spans="1:11" s="524" customFormat="1" ht="16.05" customHeight="1">
      <c r="A25" s="712">
        <v>22</v>
      </c>
      <c r="B25" s="713">
        <f>'Statens skalatrin'!D70</f>
        <v>27376.75</v>
      </c>
      <c r="C25" s="709">
        <f>'Statens skalatrin'!F70</f>
        <v>27976.080000000002</v>
      </c>
      <c r="D25" s="709">
        <f>'Statens skalatrin'!H70</f>
        <v>28391.08</v>
      </c>
      <c r="E25" s="709">
        <f>'Statens skalatrin'!J70</f>
        <v>28990.42</v>
      </c>
      <c r="F25" s="714">
        <f>'Statens skalatrin'!L70</f>
        <v>29405.42</v>
      </c>
      <c r="G25" s="742">
        <f>'Statens skalatrin'!O70</f>
        <v>26104.22</v>
      </c>
      <c r="H25" s="846">
        <f t="shared" si="3"/>
        <v>1505.3433333333332</v>
      </c>
      <c r="I25" s="708">
        <f t="shared" si="4"/>
        <v>3010.6866666666665</v>
      </c>
      <c r="J25" s="733">
        <f t="shared" si="5"/>
        <v>4516.03</v>
      </c>
    </row>
    <row r="26" spans="1:11" ht="16.05" customHeight="1">
      <c r="A26" s="712">
        <v>24</v>
      </c>
      <c r="B26" s="713">
        <f>'Statens skalatrin'!D76</f>
        <v>28262.17</v>
      </c>
      <c r="C26" s="709">
        <f>'Statens skalatrin'!F76</f>
        <v>28828.5</v>
      </c>
      <c r="D26" s="709">
        <f>'Statens skalatrin'!H76</f>
        <v>29220.67</v>
      </c>
      <c r="E26" s="709">
        <f>'Statens skalatrin'!J76</f>
        <v>29787.17</v>
      </c>
      <c r="F26" s="714">
        <f>'Statens skalatrin'!L76</f>
        <v>30179.25</v>
      </c>
      <c r="G26" s="742">
        <f>'Statens skalatrin'!O76</f>
        <v>27059.61</v>
      </c>
      <c r="H26" s="846">
        <f t="shared" si="3"/>
        <v>1560.4366666666667</v>
      </c>
      <c r="I26" s="708">
        <f t="shared" si="4"/>
        <v>3120.8733333333334</v>
      </c>
      <c r="J26" s="733">
        <f t="shared" si="5"/>
        <v>4681.3100000000004</v>
      </c>
    </row>
    <row r="27" spans="1:11" ht="16.05" customHeight="1" thickBot="1">
      <c r="A27" s="722">
        <v>26</v>
      </c>
      <c r="B27" s="716">
        <f>'Statens skalatrin'!D82</f>
        <v>29191.5</v>
      </c>
      <c r="C27" s="717">
        <f>'Statens skalatrin'!F82</f>
        <v>29721.17</v>
      </c>
      <c r="D27" s="717">
        <f>'Statens skalatrin'!H82</f>
        <v>30087.919999999998</v>
      </c>
      <c r="E27" s="717">
        <f>'Statens skalatrin'!J82</f>
        <v>30617.67</v>
      </c>
      <c r="F27" s="718">
        <f>'Statens skalatrin'!L82</f>
        <v>30984.33</v>
      </c>
      <c r="G27" s="743">
        <f>'Statens skalatrin'!O82</f>
        <v>28066.57</v>
      </c>
      <c r="H27" s="847">
        <f t="shared" si="3"/>
        <v>1618.5066666666669</v>
      </c>
      <c r="I27" s="719">
        <f t="shared" si="4"/>
        <v>3237.0133333333338</v>
      </c>
      <c r="J27" s="848">
        <f t="shared" si="5"/>
        <v>4855.5200000000004</v>
      </c>
    </row>
    <row r="28" spans="1:11" ht="19.95" customHeight="1" thickBot="1">
      <c r="A28" s="796"/>
      <c r="B28" s="773"/>
      <c r="C28" s="720"/>
      <c r="D28" s="720"/>
      <c r="E28" s="720"/>
      <c r="F28" s="720"/>
      <c r="G28" s="720"/>
      <c r="H28" s="720"/>
      <c r="I28" s="721"/>
      <c r="J28" s="721"/>
      <c r="K28" s="721"/>
    </row>
    <row r="29" spans="1:11" ht="19.95" customHeight="1">
      <c r="A29" s="1810" t="s">
        <v>398</v>
      </c>
      <c r="B29" s="1811"/>
      <c r="C29" s="1811"/>
      <c r="D29" s="1811"/>
      <c r="E29" s="1811"/>
      <c r="F29" s="1811"/>
      <c r="G29" s="1811"/>
      <c r="H29" s="1811"/>
      <c r="I29" s="1811"/>
      <c r="J29" s="1812"/>
    </row>
    <row r="30" spans="1:11" ht="19.95" customHeight="1" thickBot="1">
      <c r="A30" s="1904" t="s">
        <v>396</v>
      </c>
      <c r="B30" s="1905"/>
      <c r="C30" s="1905"/>
      <c r="D30" s="1905"/>
      <c r="E30" s="1905"/>
      <c r="F30" s="1905"/>
      <c r="G30" s="1905"/>
      <c r="H30" s="1905"/>
      <c r="I30" s="1905"/>
      <c r="J30" s="1906"/>
    </row>
    <row r="31" spans="1:11" s="248" customFormat="1" ht="19.95" customHeight="1" thickBot="1">
      <c r="A31" s="1907" t="s">
        <v>407</v>
      </c>
      <c r="B31" s="1908"/>
      <c r="C31" s="1908"/>
      <c r="D31" s="1908"/>
      <c r="E31" s="1908"/>
      <c r="F31" s="1909"/>
      <c r="G31" s="1907" t="s">
        <v>165</v>
      </c>
      <c r="H31" s="1908"/>
      <c r="I31" s="1908"/>
      <c r="J31" s="1909"/>
    </row>
    <row r="32" spans="1:11" ht="30" customHeight="1" thickBot="1">
      <c r="A32" s="430" t="s">
        <v>57</v>
      </c>
      <c r="B32" s="734" t="s">
        <v>72</v>
      </c>
      <c r="C32" s="731" t="s">
        <v>73</v>
      </c>
      <c r="D32" s="731" t="s">
        <v>74</v>
      </c>
      <c r="E32" s="731" t="s">
        <v>75</v>
      </c>
      <c r="F32" s="739" t="s">
        <v>76</v>
      </c>
      <c r="G32" s="729" t="s">
        <v>182</v>
      </c>
      <c r="H32" s="752" t="s">
        <v>183</v>
      </c>
      <c r="I32" s="729" t="s">
        <v>184</v>
      </c>
      <c r="J32" s="753">
        <f>J10</f>
        <v>0.17299999999999999</v>
      </c>
    </row>
    <row r="33" spans="1:11" ht="16.05" customHeight="1">
      <c r="A33" s="725">
        <v>27</v>
      </c>
      <c r="B33" s="726">
        <f>'Statens skalatrin'!D85</f>
        <v>29671.58</v>
      </c>
      <c r="C33" s="727">
        <f>'Statens skalatrin'!F85</f>
        <v>30180.92</v>
      </c>
      <c r="D33" s="727">
        <f>'Statens skalatrin'!H85</f>
        <v>30533.75</v>
      </c>
      <c r="E33" s="727">
        <f>'Statens skalatrin'!J85</f>
        <v>31043.17</v>
      </c>
      <c r="F33" s="740">
        <f>'Statens skalatrin'!L85</f>
        <v>31395.919999999998</v>
      </c>
      <c r="G33" s="751">
        <f>'Statens skalatrin'!O85</f>
        <v>28589.79</v>
      </c>
      <c r="H33" s="843">
        <f>J33*1/3</f>
        <v>1648.6766666666665</v>
      </c>
      <c r="I33" s="844">
        <f>J33*2/3</f>
        <v>3297.353333333333</v>
      </c>
      <c r="J33" s="845">
        <f>ROUND(G33*$J$10,2)</f>
        <v>4946.03</v>
      </c>
    </row>
    <row r="34" spans="1:11" ht="16.05" customHeight="1">
      <c r="A34" s="725">
        <v>29</v>
      </c>
      <c r="B34" s="723">
        <f>'Statens skalatrin'!D91</f>
        <v>30664.5</v>
      </c>
      <c r="C34" s="709">
        <f>'Statens skalatrin'!F91</f>
        <v>31129.17</v>
      </c>
      <c r="D34" s="709">
        <f>'Statens skalatrin'!H91</f>
        <v>31451</v>
      </c>
      <c r="E34" s="709">
        <f>'Statens skalatrin'!J91</f>
        <v>31915.75</v>
      </c>
      <c r="F34" s="750">
        <f>'Statens skalatrin'!L91</f>
        <v>32237.42</v>
      </c>
      <c r="G34" s="577">
        <f>'Statens skalatrin'!O91</f>
        <v>29677.85</v>
      </c>
      <c r="H34" s="846">
        <f t="shared" ref="H34:H36" si="6">J34*1/3</f>
        <v>1711.4233333333334</v>
      </c>
      <c r="I34" s="708">
        <f t="shared" ref="I34:I36" si="7">J34*2/3</f>
        <v>3422.8466666666668</v>
      </c>
      <c r="J34" s="733">
        <f t="shared" ref="J34:J36" si="8">ROUND(G34*$J$10,2)</f>
        <v>5134.2700000000004</v>
      </c>
    </row>
    <row r="35" spans="1:11" ht="16.05" customHeight="1">
      <c r="A35" s="725">
        <v>31</v>
      </c>
      <c r="B35" s="723">
        <f>'Statens skalatrin'!D97</f>
        <v>31702.25</v>
      </c>
      <c r="C35" s="709">
        <f>'Statens skalatrin'!F97</f>
        <v>32116.17</v>
      </c>
      <c r="D35" s="709">
        <f>'Statens skalatrin'!H97</f>
        <v>32402.83</v>
      </c>
      <c r="E35" s="709">
        <f>'Statens skalatrin'!J97</f>
        <v>32816.75</v>
      </c>
      <c r="F35" s="750">
        <f>'Statens skalatrin'!L97</f>
        <v>33103.33</v>
      </c>
      <c r="G35" s="577">
        <f>'Statens skalatrin'!O97</f>
        <v>30823.49</v>
      </c>
      <c r="H35" s="846">
        <f t="shared" si="6"/>
        <v>1777.4866666666667</v>
      </c>
      <c r="I35" s="708">
        <f t="shared" si="7"/>
        <v>3554.9733333333334</v>
      </c>
      <c r="J35" s="733">
        <f t="shared" si="8"/>
        <v>5332.46</v>
      </c>
    </row>
    <row r="36" spans="1:11" s="524" customFormat="1" ht="16.05" customHeight="1" thickBot="1">
      <c r="A36" s="289">
        <v>33</v>
      </c>
      <c r="B36" s="754">
        <f>'Statens skalatrin'!D103</f>
        <v>32786.67</v>
      </c>
      <c r="C36" s="710">
        <f>'Statens skalatrin'!F103</f>
        <v>33143.08</v>
      </c>
      <c r="D36" s="710">
        <f>'Statens skalatrin'!H103</f>
        <v>33390.080000000002</v>
      </c>
      <c r="E36" s="710">
        <f>'Statens skalatrin'!J103</f>
        <v>33746.58</v>
      </c>
      <c r="F36" s="755">
        <f>'Statens skalatrin'!L103</f>
        <v>33993.5</v>
      </c>
      <c r="G36" s="578">
        <f>'Statens skalatrin'!O103</f>
        <v>32029.759999999998</v>
      </c>
      <c r="H36" s="849">
        <f t="shared" si="6"/>
        <v>1847.05</v>
      </c>
      <c r="I36" s="711">
        <f t="shared" si="7"/>
        <v>3694.1</v>
      </c>
      <c r="J36" s="848">
        <f t="shared" si="8"/>
        <v>5541.15</v>
      </c>
    </row>
    <row r="37" spans="1:11" s="756" customFormat="1" ht="19.95" customHeight="1" thickBot="1">
      <c r="A37" s="796"/>
      <c r="B37" s="773"/>
      <c r="C37" s="720"/>
      <c r="D37" s="720"/>
      <c r="E37" s="720"/>
      <c r="F37" s="720"/>
      <c r="G37" s="720"/>
      <c r="H37" s="720"/>
      <c r="I37" s="721"/>
      <c r="J37" s="721"/>
      <c r="K37" s="721"/>
    </row>
    <row r="38" spans="1:11" s="524" customFormat="1" ht="19.95" customHeight="1">
      <c r="A38" s="1810" t="s">
        <v>399</v>
      </c>
      <c r="B38" s="1811"/>
      <c r="C38" s="1811"/>
      <c r="D38" s="1811"/>
      <c r="E38" s="1811"/>
      <c r="F38" s="1811"/>
      <c r="G38" s="1811"/>
      <c r="H38" s="1811"/>
      <c r="I38" s="1811"/>
      <c r="J38" s="1812"/>
    </row>
    <row r="39" spans="1:11" ht="19.95" customHeight="1" thickBot="1">
      <c r="A39" s="1904" t="s">
        <v>396</v>
      </c>
      <c r="B39" s="1905"/>
      <c r="C39" s="1905"/>
      <c r="D39" s="1905"/>
      <c r="E39" s="1905"/>
      <c r="F39" s="1905"/>
      <c r="G39" s="1905"/>
      <c r="H39" s="1905"/>
      <c r="I39" s="1905"/>
      <c r="J39" s="1906"/>
    </row>
    <row r="40" spans="1:11" ht="19.95" customHeight="1" thickBot="1">
      <c r="A40" s="1907" t="s">
        <v>407</v>
      </c>
      <c r="B40" s="1908"/>
      <c r="C40" s="1908"/>
      <c r="D40" s="1908"/>
      <c r="E40" s="1908"/>
      <c r="F40" s="1909"/>
      <c r="G40" s="1907" t="s">
        <v>165</v>
      </c>
      <c r="H40" s="1908"/>
      <c r="I40" s="1908"/>
      <c r="J40" s="1909"/>
    </row>
    <row r="41" spans="1:11" ht="30" customHeight="1" thickBot="1">
      <c r="A41" s="430" t="s">
        <v>57</v>
      </c>
      <c r="B41" s="734" t="s">
        <v>72</v>
      </c>
      <c r="C41" s="731" t="s">
        <v>73</v>
      </c>
      <c r="D41" s="731" t="s">
        <v>74</v>
      </c>
      <c r="E41" s="731" t="s">
        <v>75</v>
      </c>
      <c r="F41" s="732" t="s">
        <v>76</v>
      </c>
      <c r="G41" s="752" t="s">
        <v>182</v>
      </c>
      <c r="H41" s="752" t="s">
        <v>183</v>
      </c>
      <c r="I41" s="729" t="s">
        <v>184</v>
      </c>
      <c r="J41" s="753">
        <f>J10</f>
        <v>0.17299999999999999</v>
      </c>
    </row>
    <row r="42" spans="1:11" s="232" customFormat="1" ht="16.05" customHeight="1">
      <c r="A42" s="725">
        <v>34</v>
      </c>
      <c r="B42" s="738">
        <f>'Statens skalatrin'!D106</f>
        <v>33347.08</v>
      </c>
      <c r="C42" s="726">
        <f>'Statens skalatrin'!F106</f>
        <v>33672.33</v>
      </c>
      <c r="D42" s="726">
        <f>'Statens skalatrin'!H106</f>
        <v>33897.5</v>
      </c>
      <c r="E42" s="726">
        <f>'Statens skalatrin'!J106</f>
        <v>34222.42</v>
      </c>
      <c r="F42" s="759">
        <f>'Statens skalatrin'!L106</f>
        <v>34447.58</v>
      </c>
      <c r="G42" s="763">
        <f>'Statens skalatrin'!O106</f>
        <v>32656.69</v>
      </c>
      <c r="H42" s="843">
        <f>J42*1/3</f>
        <v>1883.2033333333331</v>
      </c>
      <c r="I42" s="844">
        <f>J42*2/3</f>
        <v>3766.4066666666663</v>
      </c>
      <c r="J42" s="845">
        <f>ROUND(G42*$J$10,2)</f>
        <v>5649.61</v>
      </c>
    </row>
    <row r="43" spans="1:11" s="232" customFormat="1" ht="16.05" customHeight="1">
      <c r="A43" s="725">
        <v>36</v>
      </c>
      <c r="B43" s="713">
        <f>'Statens skalatrin'!D112</f>
        <v>34505.33</v>
      </c>
      <c r="C43" s="723">
        <f>'Statens skalatrin'!F112</f>
        <v>34762.080000000002</v>
      </c>
      <c r="D43" s="723">
        <f>'Statens skalatrin'!H112</f>
        <v>34939.919999999998</v>
      </c>
      <c r="E43" s="723">
        <f>'Statens skalatrin'!J112</f>
        <v>35196.75</v>
      </c>
      <c r="F43" s="742">
        <f>'Statens skalatrin'!L112</f>
        <v>35374.5</v>
      </c>
      <c r="G43" s="577">
        <f>'Statens skalatrin'!O112</f>
        <v>33960.03</v>
      </c>
      <c r="H43" s="846">
        <f t="shared" ref="H43:H46" si="9">J43*1/3</f>
        <v>1958.3633333333335</v>
      </c>
      <c r="I43" s="708">
        <f t="shared" ref="I43:I46" si="10">J43*2/3</f>
        <v>3916.7266666666669</v>
      </c>
      <c r="J43" s="733">
        <f t="shared" ref="J43:J46" si="11">ROUND(G43*$J$10,2)</f>
        <v>5875.09</v>
      </c>
    </row>
    <row r="44" spans="1:11" s="232" customFormat="1" ht="16.05" customHeight="1">
      <c r="A44" s="725">
        <v>40</v>
      </c>
      <c r="B44" s="713">
        <f>'Statens skalatrin'!D124</f>
        <v>37025.42</v>
      </c>
      <c r="C44" s="723">
        <f>'Statens skalatrin'!F124</f>
        <v>37122.17</v>
      </c>
      <c r="D44" s="723">
        <f>'Statens skalatrin'!H124</f>
        <v>37189.25</v>
      </c>
      <c r="E44" s="723">
        <f>'Statens skalatrin'!J124</f>
        <v>37286</v>
      </c>
      <c r="F44" s="742">
        <f>'Statens skalatrin'!L124</f>
        <v>37353.08</v>
      </c>
      <c r="G44" s="577">
        <f>'Statens skalatrin'!O124</f>
        <v>36819.730000000003</v>
      </c>
      <c r="H44" s="846">
        <f t="shared" si="9"/>
        <v>2123.27</v>
      </c>
      <c r="I44" s="708">
        <f t="shared" si="10"/>
        <v>4246.54</v>
      </c>
      <c r="J44" s="733">
        <f t="shared" si="11"/>
        <v>6369.81</v>
      </c>
    </row>
    <row r="45" spans="1:11" s="232" customFormat="1" ht="16.05" customHeight="1">
      <c r="A45" s="757">
        <v>42</v>
      </c>
      <c r="B45" s="760">
        <f>'Statens skalatrin'!D130</f>
        <v>38372.25</v>
      </c>
      <c r="C45" s="758">
        <f>'Statens skalatrin'!F130</f>
        <v>38372.25</v>
      </c>
      <c r="D45" s="758">
        <f>'Statens skalatrin'!H130</f>
        <v>38372.25</v>
      </c>
      <c r="E45" s="758">
        <f>'Statens skalatrin'!J130</f>
        <v>38372.25</v>
      </c>
      <c r="F45" s="761">
        <f>'Statens skalatrin'!L130</f>
        <v>38372.25</v>
      </c>
      <c r="G45" s="707">
        <f>'Statens skalatrin'!O130</f>
        <v>38372.160000000003</v>
      </c>
      <c r="H45" s="846">
        <f t="shared" si="9"/>
        <v>2212.7933333333335</v>
      </c>
      <c r="I45" s="708">
        <f t="shared" si="10"/>
        <v>4425.586666666667</v>
      </c>
      <c r="J45" s="733">
        <f t="shared" si="11"/>
        <v>6638.38</v>
      </c>
    </row>
    <row r="46" spans="1:11" ht="16.05" customHeight="1" thickBot="1">
      <c r="A46" s="289">
        <v>43</v>
      </c>
      <c r="B46" s="715">
        <f>'Statens skalatrin'!D133</f>
        <v>39224.17</v>
      </c>
      <c r="C46" s="754">
        <f>'Statens skalatrin'!F133</f>
        <v>39224.17</v>
      </c>
      <c r="D46" s="754">
        <f>'Statens skalatrin'!H133</f>
        <v>39224.17</v>
      </c>
      <c r="E46" s="754">
        <f>'Statens skalatrin'!J133</f>
        <v>39224.17</v>
      </c>
      <c r="F46" s="762">
        <f>'Statens skalatrin'!L133</f>
        <v>39224.17</v>
      </c>
      <c r="G46" s="578">
        <f>'Statens skalatrin'!O133</f>
        <v>39224.080000000002</v>
      </c>
      <c r="H46" s="849">
        <f t="shared" si="9"/>
        <v>2261.9233333333336</v>
      </c>
      <c r="I46" s="711">
        <f t="shared" si="10"/>
        <v>4523.8466666666673</v>
      </c>
      <c r="J46" s="848">
        <f t="shared" si="11"/>
        <v>6785.77</v>
      </c>
    </row>
    <row r="47" spans="1:11" s="248" customFormat="1" ht="19.95" customHeight="1" thickBot="1">
      <c r="A47" s="796"/>
      <c r="B47" s="773"/>
      <c r="C47" s="720"/>
      <c r="D47" s="720"/>
      <c r="E47" s="720"/>
      <c r="F47" s="720"/>
      <c r="G47" s="736"/>
      <c r="H47" s="720"/>
      <c r="I47" s="721"/>
      <c r="J47" s="721"/>
      <c r="K47" s="721"/>
    </row>
    <row r="48" spans="1:11" ht="19.95" customHeight="1">
      <c r="A48" s="1177" t="s">
        <v>188</v>
      </c>
      <c r="B48" s="1250"/>
      <c r="C48" s="1250"/>
      <c r="D48" s="1250"/>
      <c r="E48" s="1250"/>
      <c r="F48" s="1250"/>
      <c r="G48" s="1250"/>
      <c r="H48" s="1250"/>
      <c r="I48" s="1250"/>
      <c r="J48" s="1251"/>
    </row>
    <row r="49" spans="1:11" ht="16.95" customHeight="1" thickBot="1">
      <c r="A49" s="1912" t="s">
        <v>280</v>
      </c>
      <c r="B49" s="1913"/>
      <c r="C49" s="1913"/>
      <c r="D49" s="1913"/>
      <c r="E49" s="1913"/>
      <c r="F49" s="1913"/>
      <c r="G49" s="1913"/>
      <c r="H49" s="1913"/>
      <c r="I49" s="1913"/>
      <c r="J49" s="1914"/>
    </row>
    <row r="50" spans="1:11" ht="15">
      <c r="A50" s="764"/>
      <c r="B50" s="765"/>
      <c r="C50" s="765"/>
      <c r="D50" s="765"/>
      <c r="E50" s="765"/>
      <c r="F50" s="768"/>
      <c r="G50" s="1921" t="s">
        <v>307</v>
      </c>
      <c r="H50" s="1922"/>
      <c r="I50" s="1921" t="s">
        <v>308</v>
      </c>
      <c r="J50" s="1922"/>
    </row>
    <row r="51" spans="1:11" ht="15.6" thickBot="1">
      <c r="A51" s="766"/>
      <c r="B51" s="767"/>
      <c r="C51" s="767"/>
      <c r="D51" s="767"/>
      <c r="E51" s="767"/>
      <c r="F51" s="706"/>
      <c r="G51" s="1923">
        <v>40999</v>
      </c>
      <c r="H51" s="1924"/>
      <c r="I51" s="1923" t="str">
        <f>'Løntabel gældende fra'!$D$1</f>
        <v>01-08-2026</v>
      </c>
      <c r="J51" s="1924"/>
    </row>
    <row r="52" spans="1:11" ht="16.05" customHeight="1" thickBot="1">
      <c r="A52" s="1915" t="s">
        <v>410</v>
      </c>
      <c r="B52" s="1916"/>
      <c r="C52" s="1916"/>
      <c r="D52" s="1916"/>
      <c r="E52" s="1916"/>
      <c r="F52" s="1917"/>
      <c r="G52" s="1925">
        <v>136.5</v>
      </c>
      <c r="H52" s="1926"/>
      <c r="I52" s="1839">
        <f>ROUND(+G52*(1+'Løntabel gældende fra'!$D$7/100),2)</f>
        <v>173.79</v>
      </c>
      <c r="J52" s="1838"/>
    </row>
    <row r="53" spans="1:11" ht="16.05" customHeight="1" thickBot="1">
      <c r="A53" s="1918" t="s">
        <v>400</v>
      </c>
      <c r="B53" s="1919"/>
      <c r="C53" s="1919"/>
      <c r="D53" s="1919"/>
      <c r="E53" s="1919"/>
      <c r="F53" s="1920"/>
      <c r="G53" s="1839">
        <v>186.5</v>
      </c>
      <c r="H53" s="1838"/>
      <c r="I53" s="1839">
        <f>ROUND(+G53*(1+'Løntabel gældende fra'!$D$7/100),2)</f>
        <v>237.45</v>
      </c>
      <c r="J53" s="1838"/>
    </row>
    <row r="54" spans="1:11" ht="19.95" customHeight="1" thickBot="1">
      <c r="A54" s="769"/>
      <c r="B54" s="485"/>
      <c r="C54" s="485"/>
      <c r="D54" s="485"/>
      <c r="E54" s="485"/>
      <c r="F54" s="485"/>
      <c r="G54" s="769"/>
      <c r="H54" s="55"/>
      <c r="I54" s="55"/>
      <c r="J54" s="55"/>
      <c r="K54" s="55"/>
    </row>
    <row r="55" spans="1:11" ht="19.95" customHeight="1">
      <c r="A55" s="1177" t="s">
        <v>202</v>
      </c>
      <c r="B55" s="1250"/>
      <c r="C55" s="1250"/>
      <c r="D55" s="1250"/>
      <c r="E55" s="1250"/>
      <c r="F55" s="1250"/>
      <c r="G55" s="1250"/>
      <c r="H55" s="1250"/>
      <c r="I55" s="1250"/>
      <c r="J55" s="1251"/>
    </row>
    <row r="56" spans="1:11" ht="21" customHeight="1" thickBot="1">
      <c r="A56" s="1912" t="s">
        <v>345</v>
      </c>
      <c r="B56" s="1913"/>
      <c r="C56" s="1913"/>
      <c r="D56" s="1913"/>
      <c r="E56" s="1913"/>
      <c r="F56" s="1913"/>
      <c r="G56" s="1913"/>
      <c r="H56" s="1913"/>
      <c r="I56" s="1913"/>
      <c r="J56" s="1914"/>
    </row>
    <row r="57" spans="1:11" ht="15">
      <c r="A57" s="764"/>
      <c r="B57" s="765"/>
      <c r="C57" s="765"/>
      <c r="D57" s="765"/>
      <c r="E57" s="765"/>
      <c r="F57" s="768"/>
      <c r="G57" s="1921" t="s">
        <v>404</v>
      </c>
      <c r="H57" s="1922"/>
      <c r="I57" s="1921" t="s">
        <v>402</v>
      </c>
      <c r="J57" s="1922"/>
    </row>
    <row r="58" spans="1:11" ht="15.6" thickBot="1">
      <c r="A58" s="766"/>
      <c r="B58" s="767"/>
      <c r="C58" s="767"/>
      <c r="D58" s="767"/>
      <c r="E58" s="767"/>
      <c r="F58" s="706"/>
      <c r="G58" s="1923">
        <v>40999</v>
      </c>
      <c r="H58" s="1924"/>
      <c r="I58" s="1923" t="str">
        <f>'Løntabel gældende fra'!$D$1</f>
        <v>01-08-2026</v>
      </c>
      <c r="J58" s="1924"/>
    </row>
    <row r="59" spans="1:11" ht="16.05" customHeight="1" thickBot="1">
      <c r="A59" s="776" t="s">
        <v>401</v>
      </c>
      <c r="B59" s="777"/>
      <c r="C59" s="777"/>
      <c r="D59" s="777"/>
      <c r="E59" s="777"/>
      <c r="F59" s="778"/>
      <c r="G59" s="1925">
        <v>300</v>
      </c>
      <c r="H59" s="1926"/>
      <c r="I59" s="1839">
        <f>ROUND(+G59*(1+'Løntabel gældende fra'!$D$7/100),2)</f>
        <v>381.96</v>
      </c>
      <c r="J59" s="1838"/>
    </row>
    <row r="60" spans="1:11" ht="19.95" customHeight="1" thickBot="1">
      <c r="A60" s="1892"/>
      <c r="B60" s="1892"/>
      <c r="C60" s="1892"/>
      <c r="D60" s="1892"/>
      <c r="E60" s="1892"/>
      <c r="F60" s="1892"/>
      <c r="G60" s="1892"/>
      <c r="H60" s="1892"/>
      <c r="I60" s="460"/>
      <c r="J60" s="10"/>
      <c r="K60" s="10"/>
    </row>
    <row r="61" spans="1:11" ht="19.95" customHeight="1" thickBot="1">
      <c r="A61" s="1123" t="s">
        <v>403</v>
      </c>
      <c r="B61" s="1124"/>
      <c r="C61" s="1124"/>
      <c r="D61" s="1124"/>
      <c r="E61" s="1124"/>
      <c r="F61" s="1124"/>
      <c r="G61" s="1124"/>
      <c r="H61" s="1193"/>
      <c r="I61" s="460"/>
      <c r="J61" s="10"/>
      <c r="K61" s="10"/>
    </row>
    <row r="62" spans="1:11" ht="19.95" customHeight="1" thickBot="1">
      <c r="A62" s="786"/>
      <c r="B62" s="787"/>
      <c r="C62" s="1899" t="s">
        <v>439</v>
      </c>
      <c r="D62" s="1707"/>
      <c r="E62" s="1713"/>
      <c r="F62" s="1899" t="s">
        <v>440</v>
      </c>
      <c r="G62" s="1707"/>
      <c r="H62" s="1713"/>
      <c r="I62" s="460"/>
      <c r="J62" s="10"/>
      <c r="K62" s="10"/>
    </row>
    <row r="63" spans="1:11" ht="19.95" customHeight="1">
      <c r="A63" s="770"/>
      <c r="B63" s="771"/>
      <c r="C63" s="1897" t="s">
        <v>128</v>
      </c>
      <c r="D63" s="1897" t="s">
        <v>128</v>
      </c>
      <c r="E63" s="1897" t="s">
        <v>253</v>
      </c>
      <c r="F63" s="1897" t="s">
        <v>128</v>
      </c>
      <c r="G63" s="1897" t="s">
        <v>128</v>
      </c>
      <c r="H63" s="1897" t="s">
        <v>253</v>
      </c>
      <c r="I63" s="774"/>
      <c r="J63" s="775"/>
      <c r="K63" s="775"/>
    </row>
    <row r="64" spans="1:11" ht="19.95" customHeight="1">
      <c r="A64" s="770"/>
      <c r="B64" s="771"/>
      <c r="C64" s="1898"/>
      <c r="D64" s="1898"/>
      <c r="E64" s="1898"/>
      <c r="F64" s="1898"/>
      <c r="G64" s="1898"/>
      <c r="H64" s="1898"/>
      <c r="I64" s="774"/>
      <c r="J64" s="775"/>
      <c r="K64" s="775"/>
    </row>
    <row r="65" spans="1:11" ht="19.95" customHeight="1" thickBot="1">
      <c r="A65" s="779"/>
      <c r="B65" s="788"/>
      <c r="C65" s="780">
        <f>G58</f>
        <v>40999</v>
      </c>
      <c r="D65" s="780" t="str">
        <f>I58</f>
        <v>01-08-2026</v>
      </c>
      <c r="E65" s="780" t="str">
        <f>I58</f>
        <v>01-08-2026</v>
      </c>
      <c r="F65" s="780">
        <f>C65</f>
        <v>40999</v>
      </c>
      <c r="G65" s="780" t="str">
        <f t="shared" ref="G65:H65" si="12">D65</f>
        <v>01-08-2026</v>
      </c>
      <c r="H65" s="780" t="str">
        <f t="shared" si="12"/>
        <v>01-08-2026</v>
      </c>
      <c r="I65" s="774"/>
      <c r="J65" s="775"/>
      <c r="K65" s="775"/>
    </row>
    <row r="66" spans="1:11" ht="16.05" customHeight="1" thickBot="1">
      <c r="A66" s="1890" t="s">
        <v>406</v>
      </c>
      <c r="B66" s="1891"/>
      <c r="C66" s="792"/>
      <c r="D66" s="792"/>
      <c r="E66" s="792"/>
      <c r="F66" s="792"/>
      <c r="G66" s="792"/>
      <c r="H66" s="792"/>
      <c r="I66" s="774"/>
      <c r="J66" s="775"/>
      <c r="K66" s="775"/>
    </row>
    <row r="67" spans="1:11" ht="16.05" customHeight="1">
      <c r="A67" s="1900" t="s">
        <v>340</v>
      </c>
      <c r="B67" s="1901"/>
      <c r="C67" s="782">
        <v>103542</v>
      </c>
      <c r="D67" s="783">
        <f>ROUND(C67+(C67*'Løntabel gældende fra'!$D$7%),2)</f>
        <v>131830.09</v>
      </c>
      <c r="E67" s="783">
        <f>ROUND(D67/12,2)</f>
        <v>10985.84</v>
      </c>
      <c r="F67" s="783">
        <v>106163</v>
      </c>
      <c r="G67" s="783">
        <f>ROUND(F67+(F67*'Løntabel gældende fra'!$D$7%),2)</f>
        <v>135167.16</v>
      </c>
      <c r="H67" s="782">
        <f>ROUND(G67/12,2)</f>
        <v>11263.93</v>
      </c>
      <c r="I67" s="460"/>
      <c r="J67" s="10"/>
      <c r="K67" s="10"/>
    </row>
    <row r="68" spans="1:11" ht="16.05" customHeight="1">
      <c r="A68" s="1893" t="s">
        <v>339</v>
      </c>
      <c r="B68" s="1894"/>
      <c r="C68" s="784">
        <v>110751</v>
      </c>
      <c r="D68" s="783">
        <f>ROUND(C68+(C68*'Løntabel gældende fra'!$D$7%),2)</f>
        <v>141008.62</v>
      </c>
      <c r="E68" s="783">
        <f t="shared" ref="E68:E70" si="13">ROUND(D68/12,2)</f>
        <v>11750.72</v>
      </c>
      <c r="F68" s="784">
        <v>114027</v>
      </c>
      <c r="G68" s="783">
        <f>ROUND(F68+(F68*'Løntabel gældende fra'!$D$7%),2)</f>
        <v>145179.63</v>
      </c>
      <c r="H68" s="782">
        <f t="shared" ref="H68:H70" si="14">ROUND(G68/12,2)</f>
        <v>12098.3</v>
      </c>
      <c r="I68" s="460"/>
      <c r="J68" s="10"/>
      <c r="K68" s="10"/>
    </row>
    <row r="69" spans="1:11" ht="16.05" customHeight="1">
      <c r="A69" s="1893" t="s">
        <v>338</v>
      </c>
      <c r="B69" s="1894"/>
      <c r="C69" s="784">
        <v>117959</v>
      </c>
      <c r="D69" s="783">
        <f>ROUND(C69+(C69*'Løntabel gældende fra'!$D$7%),2)</f>
        <v>150185.87</v>
      </c>
      <c r="E69" s="783">
        <f t="shared" si="13"/>
        <v>12515.49</v>
      </c>
      <c r="F69" s="784">
        <v>121236</v>
      </c>
      <c r="G69" s="783">
        <f>ROUND(F69+(F69*'Løntabel gældende fra'!$D$7%),2)</f>
        <v>154358.16</v>
      </c>
      <c r="H69" s="782">
        <f t="shared" si="14"/>
        <v>12863.18</v>
      </c>
      <c r="I69" s="460"/>
      <c r="J69" s="10"/>
      <c r="K69" s="10"/>
    </row>
    <row r="70" spans="1:11" ht="16.05" customHeight="1" thickBot="1">
      <c r="A70" s="1895" t="s">
        <v>337</v>
      </c>
      <c r="B70" s="1896"/>
      <c r="C70" s="785">
        <v>126479</v>
      </c>
      <c r="D70" s="783">
        <f>ROUND(C70+(C70*'Løntabel gældende fra'!$D$7%),2)</f>
        <v>161033.57</v>
      </c>
      <c r="E70" s="783">
        <f t="shared" si="13"/>
        <v>13419.46</v>
      </c>
      <c r="F70" s="785">
        <v>130411</v>
      </c>
      <c r="G70" s="783">
        <f>ROUND(F70+(F70*'Løntabel gældende fra'!$D$7%),2)</f>
        <v>166039.81</v>
      </c>
      <c r="H70" s="782">
        <f t="shared" si="14"/>
        <v>13836.65</v>
      </c>
      <c r="I70" s="460"/>
      <c r="J70" s="10"/>
      <c r="K70" s="10"/>
    </row>
    <row r="71" spans="1:11" ht="16.05" customHeight="1" thickBot="1">
      <c r="A71" s="1890" t="s">
        <v>405</v>
      </c>
      <c r="B71" s="1891"/>
      <c r="C71" s="789"/>
      <c r="D71" s="789"/>
      <c r="E71" s="789"/>
      <c r="F71" s="790"/>
      <c r="G71" s="789"/>
      <c r="H71" s="791"/>
      <c r="I71" s="460"/>
      <c r="J71" s="10"/>
      <c r="K71" s="10"/>
    </row>
    <row r="72" spans="1:11" ht="16.05" customHeight="1">
      <c r="A72" s="1900" t="s">
        <v>340</v>
      </c>
      <c r="B72" s="1901"/>
      <c r="C72" s="782">
        <v>130411</v>
      </c>
      <c r="D72" s="783">
        <f>ROUND(C72+(C72*'Løntabel gældende fra'!$D$7%),2)</f>
        <v>166039.81</v>
      </c>
      <c r="E72" s="783">
        <f>ROUND(D72/12,2)</f>
        <v>13836.65</v>
      </c>
      <c r="F72" s="783">
        <v>133687</v>
      </c>
      <c r="G72" s="783">
        <f>ROUND(F72+(F72*'Løntabel gældende fra'!$D$7%),2)</f>
        <v>170210.82</v>
      </c>
      <c r="H72" s="782">
        <f>ROUND(G72/12,2)</f>
        <v>14184.24</v>
      </c>
      <c r="I72" s="460"/>
      <c r="J72" s="10"/>
      <c r="K72" s="10"/>
    </row>
    <row r="73" spans="1:11" ht="16.05" customHeight="1">
      <c r="A73" s="1893" t="s">
        <v>339</v>
      </c>
      <c r="B73" s="1894"/>
      <c r="C73" s="784">
        <v>137619</v>
      </c>
      <c r="D73" s="783">
        <f>ROUND(C73+(C73*'Løntabel gældende fra'!$D$7%),2)</f>
        <v>175217.06</v>
      </c>
      <c r="E73" s="783">
        <f t="shared" ref="E73:E75" si="15">ROUND(D73/12,2)</f>
        <v>14601.42</v>
      </c>
      <c r="F73" s="784">
        <v>140896</v>
      </c>
      <c r="G73" s="783">
        <f>ROUND(F73+(F73*'Løntabel gældende fra'!$D$7%),2)</f>
        <v>179389.35</v>
      </c>
      <c r="H73" s="782">
        <f t="shared" ref="H73:H75" si="16">ROUND(G73/12,2)</f>
        <v>14949.11</v>
      </c>
      <c r="I73" s="460"/>
      <c r="J73" s="10"/>
      <c r="K73" s="10"/>
    </row>
    <row r="74" spans="1:11" ht="16.05" customHeight="1">
      <c r="A74" s="1893" t="s">
        <v>338</v>
      </c>
      <c r="B74" s="1894"/>
      <c r="C74" s="784">
        <v>147777</v>
      </c>
      <c r="D74" s="783">
        <f>ROUND(C74+(C74*'Løntabel gældende fra'!$D$7%),2)</f>
        <v>188150.27</v>
      </c>
      <c r="E74" s="783">
        <f t="shared" si="15"/>
        <v>15679.19</v>
      </c>
      <c r="F74" s="784">
        <v>152037</v>
      </c>
      <c r="G74" s="783">
        <f>ROUND(F74+(F74*'Løntabel gældende fra'!$D$7%),2)</f>
        <v>193574.12</v>
      </c>
      <c r="H74" s="782">
        <f t="shared" si="16"/>
        <v>16131.18</v>
      </c>
      <c r="I74" s="460"/>
      <c r="J74" s="10"/>
      <c r="K74" s="10"/>
    </row>
    <row r="75" spans="1:11" s="248" customFormat="1" ht="16.05" customHeight="1" thickBot="1">
      <c r="A75" s="1895" t="s">
        <v>337</v>
      </c>
      <c r="B75" s="1896"/>
      <c r="C75" s="785">
        <v>155641</v>
      </c>
      <c r="D75" s="783">
        <f>ROUND(C75+(C75*'Løntabel gældende fra'!$D$7%),2)</f>
        <v>198162.74</v>
      </c>
      <c r="E75" s="783">
        <f t="shared" si="15"/>
        <v>16513.560000000001</v>
      </c>
      <c r="F75" s="785">
        <v>160556</v>
      </c>
      <c r="G75" s="783">
        <f>ROUND(F75+(F75*'Løntabel gældende fra'!$D$7%),2)</f>
        <v>204420.54</v>
      </c>
      <c r="H75" s="782">
        <f t="shared" si="16"/>
        <v>17035.05</v>
      </c>
      <c r="I75" s="460"/>
      <c r="J75" s="55"/>
      <c r="K75" s="55"/>
    </row>
    <row r="76" spans="1:11" ht="16.05" customHeight="1" thickBot="1">
      <c r="A76" s="793" t="s">
        <v>408</v>
      </c>
      <c r="B76" s="793"/>
      <c r="C76" s="789"/>
      <c r="D76" s="789"/>
      <c r="E76" s="789"/>
      <c r="F76" s="790"/>
      <c r="G76" s="789"/>
      <c r="H76" s="791"/>
      <c r="I76" s="460"/>
      <c r="J76" s="10"/>
      <c r="K76" s="10"/>
    </row>
    <row r="77" spans="1:11" ht="16.05" customHeight="1" thickBot="1">
      <c r="A77" s="1902" t="s">
        <v>409</v>
      </c>
      <c r="B77" s="1903"/>
      <c r="C77" s="781">
        <v>220533</v>
      </c>
      <c r="D77" s="781">
        <f>ROUND(C77+(C77*'Løntabel gældende fra'!$D$7%),2)</f>
        <v>280783.5</v>
      </c>
      <c r="E77" s="781">
        <f>ROUND(D77/12,2)</f>
        <v>23398.63</v>
      </c>
      <c r="F77" s="781">
        <v>222812</v>
      </c>
      <c r="G77" s="781">
        <f>ROUND(F77+(F77*'Løntabel gældende fra'!$D$7%),2)</f>
        <v>283685.13</v>
      </c>
      <c r="H77" s="794">
        <f>ROUND(G77/12,2)</f>
        <v>23640.43</v>
      </c>
      <c r="I77" s="460"/>
      <c r="J77" s="10"/>
      <c r="K77" s="10"/>
    </row>
    <row r="78" spans="1:11">
      <c r="A78" s="218"/>
      <c r="B78" s="218"/>
      <c r="C78" s="218"/>
      <c r="D78" s="219"/>
    </row>
    <row r="79" spans="1:11">
      <c r="D79" s="220"/>
    </row>
    <row r="80" spans="1:11">
      <c r="D80" s="220"/>
    </row>
    <row r="81" spans="4:4">
      <c r="D81" s="220"/>
    </row>
    <row r="82" spans="4:4">
      <c r="D82" s="221"/>
    </row>
  </sheetData>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1" orientation="portrait"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defaultColWidth="8.77734375" defaultRowHeight="13.2"/>
  <cols>
    <col min="1" max="1" width="22.33203125" style="206" customWidth="1"/>
    <col min="2" max="2" width="10.6640625" style="206" customWidth="1"/>
    <col min="3" max="3" width="11" style="206" customWidth="1"/>
    <col min="4" max="4" width="10.33203125" style="206" customWidth="1"/>
    <col min="5" max="5" width="11.33203125" style="206" customWidth="1"/>
    <col min="6" max="6" width="10.6640625" style="206" customWidth="1"/>
    <col min="7" max="7" width="10.33203125" style="206" customWidth="1"/>
    <col min="8" max="8" width="11.109375" style="206" customWidth="1"/>
    <col min="9" max="9" width="11" style="206" customWidth="1"/>
    <col min="10" max="10" width="10.77734375" style="206" customWidth="1"/>
    <col min="11" max="16384" width="8.77734375" style="206"/>
  </cols>
  <sheetData>
    <row r="1" spans="1:12" ht="20.25" customHeight="1">
      <c r="A1" s="1935" t="s">
        <v>19</v>
      </c>
      <c r="B1" s="1936"/>
      <c r="C1" s="1936"/>
      <c r="D1" s="1936"/>
      <c r="E1" s="1936"/>
      <c r="F1" s="1936"/>
      <c r="G1" s="1936"/>
      <c r="H1" s="1936"/>
      <c r="I1" s="1936"/>
      <c r="J1" s="1937"/>
    </row>
    <row r="2" spans="1:12" ht="19.95" customHeight="1">
      <c r="A2" s="1938" t="s">
        <v>199</v>
      </c>
      <c r="B2" s="1939"/>
      <c r="C2" s="1939"/>
      <c r="D2" s="1939"/>
      <c r="E2" s="1939"/>
      <c r="F2" s="1939"/>
      <c r="G2" s="1939"/>
      <c r="H2" s="1939"/>
      <c r="I2" s="1939"/>
      <c r="J2" s="1940"/>
    </row>
    <row r="3" spans="1:12" ht="19.5" customHeight="1">
      <c r="A3" s="1941" t="s">
        <v>521</v>
      </c>
      <c r="B3" s="1942"/>
      <c r="C3" s="1942"/>
      <c r="D3" s="1942"/>
      <c r="E3" s="1942"/>
      <c r="F3" s="1942"/>
      <c r="G3" s="1942"/>
      <c r="H3" s="1942"/>
      <c r="I3" s="1942"/>
      <c r="J3" s="1943"/>
    </row>
    <row r="4" spans="1:12" ht="33" customHeight="1" thickBot="1">
      <c r="A4" s="1875" t="s">
        <v>211</v>
      </c>
      <c r="B4" s="1876"/>
      <c r="C4" s="1876"/>
      <c r="D4" s="1876"/>
      <c r="E4" s="1876"/>
      <c r="F4" s="1876"/>
      <c r="G4" s="1876"/>
      <c r="H4" s="1876"/>
      <c r="I4" s="1876"/>
      <c r="J4" s="1877"/>
    </row>
    <row r="5" spans="1:12" ht="14.4" thickBot="1">
      <c r="A5" s="222"/>
      <c r="B5" s="222"/>
      <c r="C5" s="222"/>
      <c r="D5" s="222"/>
      <c r="E5" s="253"/>
      <c r="F5" s="253"/>
      <c r="G5" s="253"/>
      <c r="H5" s="253"/>
    </row>
    <row r="6" spans="1:12" s="232" customFormat="1" ht="18" thickBot="1">
      <c r="A6" s="1701" t="s">
        <v>522</v>
      </c>
      <c r="B6" s="1702"/>
      <c r="C6" s="1702"/>
      <c r="D6" s="1702"/>
      <c r="E6" s="1702"/>
      <c r="F6" s="1702"/>
      <c r="G6" s="1702"/>
      <c r="H6" s="1702"/>
      <c r="I6" s="1702"/>
      <c r="J6" s="1703"/>
    </row>
    <row r="7" spans="1:12" s="232" customFormat="1" ht="40.950000000000003" customHeight="1">
      <c r="A7" s="430" t="s">
        <v>361</v>
      </c>
      <c r="B7" s="430" t="s">
        <v>476</v>
      </c>
      <c r="C7" s="433" t="s">
        <v>477</v>
      </c>
      <c r="D7" s="430" t="s">
        <v>478</v>
      </c>
      <c r="E7" s="430" t="s">
        <v>479</v>
      </c>
      <c r="F7" s="430" t="s">
        <v>480</v>
      </c>
      <c r="G7" s="433" t="s">
        <v>481</v>
      </c>
      <c r="H7" s="430" t="s">
        <v>482</v>
      </c>
      <c r="I7" s="430" t="s">
        <v>483</v>
      </c>
      <c r="J7" s="903" t="s">
        <v>484</v>
      </c>
    </row>
    <row r="8" spans="1:12" s="232" customFormat="1" ht="13.95" customHeight="1">
      <c r="A8" s="904" t="s">
        <v>485</v>
      </c>
      <c r="B8" s="905">
        <v>24965</v>
      </c>
      <c r="C8" s="905">
        <v>28221</v>
      </c>
      <c r="D8" s="905">
        <v>34463</v>
      </c>
      <c r="E8" s="905">
        <v>23880</v>
      </c>
      <c r="F8" s="905">
        <v>24965</v>
      </c>
      <c r="G8" s="905">
        <v>27679</v>
      </c>
      <c r="H8" s="905">
        <v>23880</v>
      </c>
      <c r="I8" s="905">
        <v>24965</v>
      </c>
      <c r="J8" s="905">
        <v>23880</v>
      </c>
    </row>
    <row r="9" spans="1:12" s="232" customFormat="1" ht="13.5" customHeight="1">
      <c r="A9" s="906" t="s">
        <v>486</v>
      </c>
      <c r="B9" s="907">
        <f t="shared" ref="B9:J11" si="0">SUM((B8*4%)+B8)</f>
        <v>25963.599999999999</v>
      </c>
      <c r="C9" s="907">
        <f t="shared" si="0"/>
        <v>29349.84</v>
      </c>
      <c r="D9" s="907">
        <f>SUM(((D8*4%)+D8)-1)</f>
        <v>35840.519999999997</v>
      </c>
      <c r="E9" s="907">
        <f t="shared" si="0"/>
        <v>24835.200000000001</v>
      </c>
      <c r="F9" s="907">
        <f t="shared" si="0"/>
        <v>25963.599999999999</v>
      </c>
      <c r="G9" s="907">
        <f t="shared" si="0"/>
        <v>28786.16</v>
      </c>
      <c r="H9" s="907">
        <f t="shared" si="0"/>
        <v>24835.200000000001</v>
      </c>
      <c r="I9" s="907">
        <f t="shared" si="0"/>
        <v>25963.599999999999</v>
      </c>
      <c r="J9" s="907">
        <f t="shared" si="0"/>
        <v>24835.200000000001</v>
      </c>
    </row>
    <row r="10" spans="1:12" s="232" customFormat="1" ht="15" customHeight="1">
      <c r="A10" s="904" t="s">
        <v>487</v>
      </c>
      <c r="B10" s="907">
        <f t="shared" si="0"/>
        <v>27002.144</v>
      </c>
      <c r="C10" s="907">
        <f t="shared" si="0"/>
        <v>30523.833600000002</v>
      </c>
      <c r="D10" s="907">
        <f>SUM((D9*4%)+D9+1)</f>
        <v>37275.140799999994</v>
      </c>
      <c r="E10" s="907">
        <f>SUM(((E9*4%)+E9)-1)</f>
        <v>25827.608</v>
      </c>
      <c r="F10" s="907">
        <f t="shared" si="0"/>
        <v>27002.144</v>
      </c>
      <c r="G10" s="907">
        <f>SUM(((G9*4%)+G9)-1)</f>
        <v>29936.606400000001</v>
      </c>
      <c r="H10" s="907">
        <f>SUM(((H9*4%)+H9)-1)</f>
        <v>25827.608</v>
      </c>
      <c r="I10" s="907">
        <f t="shared" si="0"/>
        <v>27002.144</v>
      </c>
      <c r="J10" s="907">
        <f>SUM(((J9*4%)+J9)-1)</f>
        <v>25827.608</v>
      </c>
      <c r="L10" s="234"/>
    </row>
    <row r="11" spans="1:12" s="232" customFormat="1" ht="15" customHeight="1">
      <c r="A11" s="904" t="s">
        <v>488</v>
      </c>
      <c r="B11" s="908"/>
      <c r="C11" s="908"/>
      <c r="D11" s="908"/>
      <c r="E11" s="907">
        <f t="shared" si="0"/>
        <v>26860.712319999999</v>
      </c>
      <c r="F11" s="908"/>
      <c r="G11" s="908"/>
      <c r="H11" s="907">
        <f t="shared" si="0"/>
        <v>26860.712319999999</v>
      </c>
      <c r="I11" s="908"/>
      <c r="J11" s="907">
        <f>SUM((J10*4%)+J10)</f>
        <v>26860.712319999999</v>
      </c>
      <c r="L11" s="234"/>
    </row>
    <row r="12" spans="1:12" s="232" customFormat="1" ht="15" customHeight="1">
      <c r="A12" s="909" t="s">
        <v>489</v>
      </c>
      <c r="B12" s="907">
        <f>SUM((B10*4%)+B10)</f>
        <v>28082.229760000002</v>
      </c>
      <c r="C12" s="907">
        <f>SUM((C10*4%)+C10)</f>
        <v>31744.786944000003</v>
      </c>
      <c r="D12" s="907">
        <f>SUM((D10*4%)+D10)</f>
        <v>38766.146431999994</v>
      </c>
      <c r="E12" s="908"/>
      <c r="F12" s="907">
        <f>SUM((F10*4%)+F10)</f>
        <v>28082.229760000002</v>
      </c>
      <c r="G12" s="907">
        <f>SUM(((G10*4%)+G10)+1)</f>
        <v>31135.070656</v>
      </c>
      <c r="H12" s="908"/>
      <c r="I12" s="907">
        <f>SUM((I10*4%)+I10)</f>
        <v>28082.229760000002</v>
      </c>
      <c r="J12" s="908"/>
      <c r="L12" s="234"/>
    </row>
    <row r="13" spans="1:12" s="232" customFormat="1" ht="15" customHeight="1" thickBot="1">
      <c r="A13" s="854" t="s">
        <v>490</v>
      </c>
      <c r="B13" s="910">
        <f>SUM((B12*4%)+B12)</f>
        <v>29205.518950400001</v>
      </c>
      <c r="C13" s="910">
        <f>SUM((C12*4%)+C12)</f>
        <v>33014.578421760001</v>
      </c>
      <c r="D13" s="910">
        <f>SUM((D12*4%)+D12)</f>
        <v>40316.792289279991</v>
      </c>
      <c r="E13" s="911"/>
      <c r="F13" s="910">
        <f>SUM((F12*4%)+F12)</f>
        <v>29205.518950400001</v>
      </c>
      <c r="G13" s="910">
        <f>SUM((G12*4%)+G12)</f>
        <v>32380.473482239999</v>
      </c>
      <c r="H13" s="911"/>
      <c r="I13" s="910">
        <f>SUM((I12*4%)+I12)</f>
        <v>29205.518950400001</v>
      </c>
      <c r="J13" s="911"/>
      <c r="L13" s="234"/>
    </row>
    <row r="14" spans="1:12" s="232" customFormat="1" ht="15" customHeight="1">
      <c r="A14" s="912"/>
      <c r="B14" s="913"/>
      <c r="C14" s="913"/>
      <c r="D14" s="914"/>
      <c r="E14" s="850"/>
      <c r="F14" s="851"/>
      <c r="G14" s="852"/>
      <c r="H14" s="852"/>
      <c r="I14" s="235"/>
      <c r="J14" s="233"/>
      <c r="L14" s="234"/>
    </row>
    <row r="15" spans="1:12" s="232" customFormat="1" ht="14.4" thickBot="1">
      <c r="B15" s="233"/>
      <c r="C15" s="233"/>
      <c r="D15" s="233"/>
      <c r="E15" s="258"/>
      <c r="F15" s="258"/>
      <c r="G15" s="258"/>
      <c r="H15" s="258"/>
    </row>
    <row r="16" spans="1:12" s="232" customFormat="1" ht="18" thickBot="1">
      <c r="A16" s="1701" t="s">
        <v>167</v>
      </c>
      <c r="B16" s="1702"/>
      <c r="C16" s="1702"/>
      <c r="D16" s="1703"/>
    </row>
    <row r="17" spans="1:10" s="232" customFormat="1" ht="15" customHeight="1" thickBot="1">
      <c r="A17" s="1944" t="s">
        <v>168</v>
      </c>
      <c r="B17" s="1945"/>
      <c r="C17" s="1945"/>
      <c r="D17" s="1946"/>
    </row>
    <row r="18" spans="1:10" s="232" customFormat="1" ht="16.05" customHeight="1" thickBot="1">
      <c r="A18" s="853" t="s">
        <v>188</v>
      </c>
      <c r="B18" s="950">
        <v>45383</v>
      </c>
      <c r="C18" s="890">
        <v>45748</v>
      </c>
      <c r="D18" s="891"/>
    </row>
    <row r="19" spans="1:10" s="232" customFormat="1" ht="16.05" customHeight="1" thickBot="1">
      <c r="A19" s="854" t="s">
        <v>189</v>
      </c>
      <c r="B19" s="951">
        <v>146</v>
      </c>
      <c r="C19" s="915">
        <v>149</v>
      </c>
      <c r="D19" s="834"/>
      <c r="F19" s="233"/>
      <c r="G19" s="233"/>
      <c r="H19" s="233"/>
      <c r="I19" s="233"/>
      <c r="J19" s="233"/>
    </row>
    <row r="20" spans="1:10" s="232" customFormat="1" ht="16.05" customHeight="1" thickBot="1">
      <c r="A20" s="241"/>
      <c r="B20" s="797"/>
      <c r="C20" s="797"/>
      <c r="D20" s="797"/>
      <c r="F20" s="233"/>
      <c r="G20" s="233"/>
      <c r="H20" s="233"/>
      <c r="I20" s="233"/>
      <c r="J20" s="233"/>
    </row>
    <row r="21" spans="1:10" s="232" customFormat="1" ht="19.05" customHeight="1" thickBot="1">
      <c r="A21" s="1810" t="s">
        <v>192</v>
      </c>
      <c r="B21" s="1811"/>
      <c r="C21" s="1811"/>
      <c r="D21" s="1702"/>
      <c r="E21" s="1703"/>
      <c r="F21" s="233"/>
      <c r="G21" s="233"/>
      <c r="H21" s="233"/>
      <c r="I21" s="233"/>
      <c r="J21" s="233"/>
    </row>
    <row r="22" spans="1:10" s="232" customFormat="1" ht="16.05" customHeight="1" thickBot="1">
      <c r="A22" s="877" t="s">
        <v>193</v>
      </c>
      <c r="B22" s="878"/>
      <c r="C22" s="952">
        <v>45383</v>
      </c>
      <c r="D22" s="916">
        <v>45748</v>
      </c>
      <c r="E22" s="302"/>
      <c r="F22" s="233"/>
      <c r="G22" s="233"/>
      <c r="H22" s="233"/>
      <c r="I22" s="233"/>
      <c r="J22" s="233"/>
    </row>
    <row r="23" spans="1:10" s="232" customFormat="1" ht="16.05" customHeight="1">
      <c r="A23" s="300" t="s">
        <v>491</v>
      </c>
      <c r="B23" s="301"/>
      <c r="C23" s="953">
        <v>79</v>
      </c>
      <c r="D23" s="917">
        <v>80</v>
      </c>
      <c r="E23" s="855"/>
      <c r="F23" s="233"/>
      <c r="G23" s="233"/>
      <c r="H23" s="233"/>
      <c r="I23" s="233"/>
      <c r="J23" s="233"/>
    </row>
    <row r="24" spans="1:10" s="232" customFormat="1" ht="16.05" customHeight="1">
      <c r="A24" s="304" t="s">
        <v>190</v>
      </c>
      <c r="B24" s="303"/>
      <c r="C24" s="954">
        <v>89</v>
      </c>
      <c r="D24" s="267">
        <v>91</v>
      </c>
      <c r="E24" s="856"/>
      <c r="F24" s="233"/>
      <c r="G24" s="233"/>
      <c r="H24" s="233"/>
      <c r="I24" s="233"/>
      <c r="J24" s="233"/>
    </row>
    <row r="25" spans="1:10" s="232" customFormat="1" ht="16.05" customHeight="1" thickBot="1">
      <c r="A25" s="305" t="s">
        <v>191</v>
      </c>
      <c r="B25" s="306"/>
      <c r="C25" s="955">
        <v>102</v>
      </c>
      <c r="D25" s="449">
        <v>105</v>
      </c>
      <c r="E25" s="857"/>
      <c r="F25" s="233"/>
      <c r="G25" s="233"/>
      <c r="H25" s="233"/>
      <c r="I25" s="233"/>
      <c r="J25" s="233"/>
    </row>
    <row r="26" spans="1:10" s="232" customFormat="1" ht="14.4" thickBot="1">
      <c r="A26" s="241"/>
      <c r="B26" s="240"/>
      <c r="C26" s="240"/>
      <c r="D26" s="240"/>
      <c r="G26" s="258"/>
    </row>
    <row r="27" spans="1:10" s="232" customFormat="1" ht="18" thickBot="1">
      <c r="A27" s="1947" t="s">
        <v>169</v>
      </c>
      <c r="B27" s="1948"/>
      <c r="C27" s="1948"/>
      <c r="D27" s="1948"/>
      <c r="E27" s="1948"/>
      <c r="F27" s="1949"/>
      <c r="G27" s="858"/>
    </row>
    <row r="28" spans="1:10" s="232" customFormat="1" ht="14.4" thickBot="1">
      <c r="A28" s="1950"/>
      <c r="B28" s="1951"/>
      <c r="C28" s="1951"/>
      <c r="D28" s="952">
        <v>45383</v>
      </c>
      <c r="E28" s="916">
        <v>45748</v>
      </c>
      <c r="F28" s="800"/>
      <c r="G28" s="859"/>
    </row>
    <row r="29" spans="1:10" s="232" customFormat="1" ht="13.95" customHeight="1">
      <c r="A29" s="1952" t="s">
        <v>195</v>
      </c>
      <c r="B29" s="1953"/>
      <c r="C29" s="918" t="s">
        <v>162</v>
      </c>
      <c r="D29" s="956">
        <v>39</v>
      </c>
      <c r="E29" s="919">
        <v>40</v>
      </c>
      <c r="F29" s="920"/>
      <c r="G29" s="860"/>
    </row>
    <row r="30" spans="1:10" s="232" customFormat="1" ht="13.8">
      <c r="A30" s="1933" t="s">
        <v>196</v>
      </c>
      <c r="B30" s="1934"/>
      <c r="C30" s="889" t="s">
        <v>162</v>
      </c>
      <c r="D30" s="957">
        <v>59</v>
      </c>
      <c r="E30" s="921">
        <v>60</v>
      </c>
      <c r="F30" s="861"/>
      <c r="G30" s="860"/>
    </row>
    <row r="31" spans="1:10" s="232" customFormat="1" ht="22.95" customHeight="1">
      <c r="A31" s="1954" t="s">
        <v>194</v>
      </c>
      <c r="B31" s="1955"/>
      <c r="C31" s="889" t="s">
        <v>162</v>
      </c>
      <c r="D31" s="957">
        <v>64</v>
      </c>
      <c r="E31" s="921">
        <v>66</v>
      </c>
      <c r="F31" s="861"/>
      <c r="G31" s="860"/>
    </row>
    <row r="32" spans="1:10" s="232" customFormat="1" ht="15.75" customHeight="1" thickBot="1">
      <c r="A32" s="1956" t="s">
        <v>492</v>
      </c>
      <c r="B32" s="1957"/>
      <c r="C32" s="307" t="s">
        <v>162</v>
      </c>
      <c r="D32" s="958">
        <v>23</v>
      </c>
      <c r="E32" s="922">
        <v>24</v>
      </c>
      <c r="F32" s="862"/>
      <c r="G32" s="860"/>
    </row>
    <row r="33" spans="1:10" s="232" customFormat="1" ht="14.4" thickBot="1">
      <c r="A33" s="222"/>
      <c r="B33" s="222"/>
      <c r="C33" s="222"/>
      <c r="D33" s="222"/>
      <c r="E33" s="222"/>
      <c r="F33" s="223"/>
      <c r="G33" s="222"/>
    </row>
    <row r="34" spans="1:10" s="232" customFormat="1" ht="18" thickBot="1">
      <c r="A34" s="1701" t="s">
        <v>523</v>
      </c>
      <c r="B34" s="1702"/>
      <c r="C34" s="1702"/>
      <c r="D34" s="1702"/>
      <c r="E34" s="1702"/>
      <c r="F34" s="1702"/>
      <c r="G34" s="1702"/>
      <c r="H34" s="1702"/>
      <c r="I34" s="1702"/>
      <c r="J34" s="1703"/>
    </row>
    <row r="35" spans="1:10" s="232" customFormat="1" ht="42" customHeight="1">
      <c r="A35" s="433" t="s">
        <v>493</v>
      </c>
      <c r="B35" s="1958" t="s">
        <v>494</v>
      </c>
      <c r="C35" s="1959"/>
      <c r="D35" s="1958" t="s">
        <v>399</v>
      </c>
      <c r="E35" s="1959"/>
      <c r="F35" s="430" t="s">
        <v>480</v>
      </c>
      <c r="G35" s="1958" t="s">
        <v>481</v>
      </c>
      <c r="H35" s="1959"/>
      <c r="I35" s="1958" t="s">
        <v>495</v>
      </c>
      <c r="J35" s="1959"/>
    </row>
    <row r="36" spans="1:10" s="232" customFormat="1" ht="15" customHeight="1">
      <c r="A36" s="923" t="s">
        <v>496</v>
      </c>
      <c r="B36" s="1960" t="s">
        <v>524</v>
      </c>
      <c r="C36" s="1961"/>
      <c r="D36" s="1960" t="s">
        <v>524</v>
      </c>
      <c r="E36" s="1961"/>
      <c r="F36" s="905" t="s">
        <v>525</v>
      </c>
      <c r="G36" s="1960" t="s">
        <v>525</v>
      </c>
      <c r="H36" s="1961"/>
      <c r="I36" s="1960" t="s">
        <v>525</v>
      </c>
      <c r="J36" s="1961"/>
    </row>
    <row r="37" spans="1:10" s="232" customFormat="1" ht="15" customHeight="1">
      <c r="A37" s="737"/>
      <c r="B37" s="1962"/>
      <c r="C37" s="1963"/>
      <c r="D37" s="1962"/>
      <c r="E37" s="1963"/>
      <c r="F37" s="908"/>
      <c r="G37" s="1962"/>
      <c r="H37" s="1963"/>
      <c r="I37" s="1962"/>
      <c r="J37" s="1963"/>
    </row>
    <row r="38" spans="1:10" s="232" customFormat="1" ht="15" customHeight="1">
      <c r="A38" s="923" t="s">
        <v>497</v>
      </c>
      <c r="B38" s="1960" t="s">
        <v>525</v>
      </c>
      <c r="C38" s="1961"/>
      <c r="D38" s="1962"/>
      <c r="E38" s="1963"/>
      <c r="F38" s="907" t="s">
        <v>526</v>
      </c>
      <c r="G38" s="1964" t="s">
        <v>526</v>
      </c>
      <c r="H38" s="1965"/>
      <c r="I38" s="1964"/>
      <c r="J38" s="1965"/>
    </row>
    <row r="39" spans="1:10" s="232" customFormat="1" ht="15" customHeight="1">
      <c r="A39" s="923"/>
      <c r="B39" s="1962"/>
      <c r="C39" s="1963"/>
      <c r="D39" s="1962"/>
      <c r="E39" s="1963"/>
      <c r="F39" s="908"/>
      <c r="G39" s="1962"/>
      <c r="H39" s="1963"/>
      <c r="I39" s="1962"/>
      <c r="J39" s="1963"/>
    </row>
    <row r="40" spans="1:10" s="232" customFormat="1" ht="15" customHeight="1">
      <c r="A40" s="924" t="s">
        <v>498</v>
      </c>
      <c r="B40" s="1964" t="s">
        <v>526</v>
      </c>
      <c r="C40" s="1965"/>
      <c r="D40" s="1964" t="s">
        <v>526</v>
      </c>
      <c r="E40" s="1965"/>
      <c r="F40" s="908"/>
      <c r="G40" s="1962"/>
      <c r="H40" s="1963"/>
      <c r="I40" s="1962"/>
      <c r="J40" s="1963"/>
    </row>
    <row r="41" spans="1:10" s="232" customFormat="1" ht="15" customHeight="1" thickBot="1">
      <c r="A41" s="925"/>
      <c r="B41" s="1966"/>
      <c r="C41" s="1967"/>
      <c r="D41" s="1968"/>
      <c r="E41" s="1969"/>
      <c r="F41" s="911"/>
      <c r="G41" s="1968"/>
      <c r="H41" s="1969"/>
      <c r="I41" s="1968"/>
      <c r="J41" s="1969"/>
    </row>
    <row r="42" spans="1:10" s="232" customFormat="1" ht="13.8">
      <c r="A42" s="222"/>
      <c r="B42" s="222"/>
      <c r="C42" s="222"/>
      <c r="D42" s="222"/>
      <c r="E42" s="222"/>
      <c r="F42" s="223"/>
      <c r="G42" s="222"/>
    </row>
    <row r="43" spans="1:10" s="232" customFormat="1" ht="9" customHeight="1">
      <c r="A43" s="863"/>
      <c r="B43" s="798"/>
      <c r="C43" s="798"/>
      <c r="D43" s="864"/>
      <c r="E43" s="798"/>
      <c r="F43" s="798"/>
      <c r="G43" s="864"/>
      <c r="H43" s="865"/>
      <c r="I43" s="864"/>
      <c r="J43" s="864"/>
    </row>
    <row r="44" spans="1:10" s="232" customFormat="1" ht="16.95" customHeight="1">
      <c r="A44" s="232" t="s">
        <v>214</v>
      </c>
      <c r="F44" s="299"/>
      <c r="G44" s="222"/>
      <c r="H44" s="865"/>
      <c r="I44" s="864"/>
      <c r="J44" s="864"/>
    </row>
    <row r="45" spans="1:10" s="232" customFormat="1" ht="16.95" customHeight="1">
      <c r="A45" s="456" t="s">
        <v>197</v>
      </c>
      <c r="F45" s="299"/>
      <c r="G45" s="222"/>
      <c r="H45" s="865"/>
      <c r="I45" s="864"/>
      <c r="J45" s="864"/>
    </row>
    <row r="46" spans="1:10" s="232" customFormat="1" ht="16.95" customHeight="1">
      <c r="A46" s="456" t="s">
        <v>499</v>
      </c>
      <c r="F46" s="299"/>
      <c r="G46" s="222"/>
      <c r="H46" s="865"/>
      <c r="I46" s="864"/>
      <c r="J46" s="864"/>
    </row>
    <row r="47" spans="1:10" s="232" customFormat="1" ht="12" customHeight="1">
      <c r="A47" s="456"/>
      <c r="F47" s="299"/>
      <c r="G47" s="222"/>
      <c r="H47" s="865"/>
      <c r="I47" s="864"/>
      <c r="J47" s="864"/>
    </row>
    <row r="48" spans="1:10" s="232" customFormat="1" ht="22.05" customHeight="1" thickBot="1">
      <c r="A48" s="879" t="s">
        <v>527</v>
      </c>
    </row>
    <row r="49" spans="1:10" s="232" customFormat="1" ht="22.05" customHeight="1" thickBot="1">
      <c r="A49" s="1701" t="s">
        <v>212</v>
      </c>
      <c r="B49" s="1702"/>
      <c r="C49" s="1702"/>
      <c r="D49" s="1702"/>
      <c r="E49" s="1702"/>
      <c r="F49" s="1702"/>
      <c r="G49" s="1703"/>
      <c r="H49" s="234"/>
    </row>
    <row r="50" spans="1:10" s="232" customFormat="1" ht="18" customHeight="1" thickBot="1">
      <c r="A50" s="1944" t="s">
        <v>500</v>
      </c>
      <c r="B50" s="1945"/>
      <c r="C50" s="1945"/>
      <c r="D50" s="1945"/>
      <c r="E50" s="1945"/>
      <c r="F50" s="1945"/>
      <c r="G50" s="1946"/>
    </row>
    <row r="51" spans="1:10" s="232" customFormat="1" ht="16.05" customHeight="1" thickBot="1">
      <c r="A51" s="801"/>
      <c r="B51" s="1974">
        <v>45383</v>
      </c>
      <c r="C51" s="1975"/>
      <c r="D51" s="1976">
        <v>45748</v>
      </c>
      <c r="E51" s="1977"/>
      <c r="F51" s="1978"/>
      <c r="G51" s="1979"/>
    </row>
    <row r="52" spans="1:10" s="232" customFormat="1" ht="16.05" customHeight="1" thickBot="1">
      <c r="A52" s="854" t="s">
        <v>213</v>
      </c>
      <c r="B52" s="1980">
        <v>6</v>
      </c>
      <c r="C52" s="1981"/>
      <c r="D52" s="1982">
        <v>2.4</v>
      </c>
      <c r="E52" s="1983"/>
      <c r="F52" s="1984"/>
      <c r="G52" s="1985"/>
      <c r="H52" s="225"/>
    </row>
    <row r="53" spans="1:10" s="232" customFormat="1" ht="14.4" thickBot="1">
      <c r="A53" s="866"/>
      <c r="B53" s="867"/>
      <c r="C53" s="799"/>
      <c r="D53" s="799"/>
    </row>
    <row r="54" spans="1:10" s="232" customFormat="1" ht="22.95" customHeight="1" thickBot="1">
      <c r="A54" s="1701" t="s">
        <v>381</v>
      </c>
      <c r="B54" s="1702"/>
      <c r="C54" s="1702"/>
      <c r="D54" s="1702"/>
      <c r="E54" s="1703"/>
    </row>
    <row r="55" spans="1:10" s="232" customFormat="1" ht="18" customHeight="1" thickBot="1">
      <c r="A55" s="1944" t="s">
        <v>383</v>
      </c>
      <c r="B55" s="1945"/>
      <c r="C55" s="1945"/>
      <c r="D55" s="1945"/>
      <c r="E55" s="1946"/>
    </row>
    <row r="56" spans="1:10" s="232" customFormat="1" ht="19.05" customHeight="1" thickBot="1">
      <c r="A56" s="1970"/>
      <c r="B56" s="1971"/>
      <c r="C56" s="959">
        <v>45383</v>
      </c>
      <c r="D56" s="868">
        <v>45748</v>
      </c>
      <c r="E56" s="880"/>
    </row>
    <row r="57" spans="1:10" s="232" customFormat="1" ht="19.95" customHeight="1" thickBot="1">
      <c r="A57" s="1972" t="s">
        <v>382</v>
      </c>
      <c r="B57" s="1973"/>
      <c r="C57" s="960">
        <v>3680</v>
      </c>
      <c r="D57" s="869">
        <v>3769</v>
      </c>
      <c r="E57" s="881"/>
    </row>
    <row r="58" spans="1:10" s="232" customFormat="1" ht="13.8">
      <c r="A58" s="870"/>
      <c r="B58" s="870"/>
      <c r="C58" s="871"/>
      <c r="D58" s="871"/>
    </row>
    <row r="59" spans="1:10" ht="13.8">
      <c r="A59" s="870"/>
      <c r="B59" s="870"/>
      <c r="C59" s="871"/>
      <c r="D59" s="871"/>
      <c r="E59" s="232"/>
      <c r="F59" s="232"/>
      <c r="G59" s="232"/>
      <c r="H59" s="232"/>
      <c r="I59" s="232"/>
      <c r="J59" s="232"/>
    </row>
    <row r="60" spans="1:10" s="232" customFormat="1" ht="13.8">
      <c r="E60" s="206"/>
      <c r="F60" s="206"/>
      <c r="G60" s="206"/>
      <c r="H60" s="206"/>
      <c r="I60" s="206"/>
      <c r="J60" s="206"/>
    </row>
    <row r="61" spans="1:10" s="232" customFormat="1" ht="13.8"/>
    <row r="62" spans="1:10" s="232" customFormat="1" ht="13.8"/>
    <row r="63" spans="1:10" s="232" customFormat="1" ht="13.8"/>
    <row r="64" spans="1:10" s="232" customFormat="1" ht="13.8"/>
    <row r="65" s="232" customFormat="1" ht="13.8"/>
    <row r="66" s="232" customFormat="1" ht="13.8"/>
    <row r="67" s="232" customFormat="1" ht="13.8"/>
    <row r="68" s="232" customFormat="1" ht="13.8"/>
    <row r="69" s="232" customFormat="1" ht="13.8"/>
    <row r="70" s="232" customFormat="1" ht="13.8"/>
    <row r="71" s="232" customFormat="1" ht="13.8"/>
    <row r="72" s="232" customFormat="1" ht="13.8"/>
    <row r="73" s="232" customFormat="1" ht="13.8"/>
    <row r="74" s="232" customFormat="1" ht="13.8"/>
    <row r="75" s="232" customFormat="1" ht="13.8"/>
    <row r="76" s="232" customFormat="1" ht="13.8"/>
    <row r="77" s="232" customFormat="1" ht="13.8"/>
    <row r="78" s="232" customFormat="1" ht="13.8"/>
    <row r="79" s="232" customFormat="1" ht="13.8"/>
    <row r="80" s="232" customFormat="1" ht="13.8"/>
    <row r="81" s="232" customFormat="1" ht="13.8"/>
    <row r="82" s="232" customFormat="1" ht="13.8"/>
    <row r="83" s="232" customFormat="1" ht="13.8"/>
    <row r="84" s="232" customFormat="1" ht="13.8"/>
    <row r="85" s="232" customFormat="1" ht="13.8"/>
    <row r="86" s="232" customFormat="1" ht="13.8"/>
    <row r="87" s="232" customFormat="1" ht="13.8"/>
    <row r="88" s="232" customFormat="1" ht="13.8"/>
    <row r="89" s="232" customFormat="1" ht="13.8"/>
    <row r="90" s="232" customFormat="1" ht="13.8"/>
    <row r="91" s="232" customFormat="1" ht="13.8"/>
    <row r="92" s="232" customFormat="1" ht="13.8"/>
    <row r="93" s="232" customFormat="1" ht="13.8"/>
    <row r="94" s="232" customFormat="1" ht="13.8"/>
    <row r="95" s="232" customFormat="1" ht="13.8"/>
    <row r="96" s="232" customFormat="1" ht="13.8"/>
    <row r="97" s="232" customFormat="1" ht="13.8"/>
    <row r="98" s="232" customFormat="1" ht="13.8"/>
    <row r="99" s="232" customFormat="1" ht="13.8"/>
    <row r="100" s="232" customFormat="1" ht="13.8"/>
    <row r="101" s="232" customFormat="1" ht="13.8"/>
    <row r="102" s="232" customFormat="1" ht="13.8"/>
    <row r="103" s="232" customFormat="1" ht="13.8"/>
    <row r="104" s="232" customFormat="1" ht="13.8"/>
    <row r="105" s="232" customFormat="1" ht="13.8"/>
    <row r="106" s="232" customFormat="1" ht="13.8"/>
    <row r="107" s="232" customFormat="1" ht="13.8"/>
    <row r="108" s="232" customFormat="1" ht="13.8"/>
    <row r="109" s="232" customFormat="1" ht="13.8"/>
    <row r="110" s="232" customFormat="1" ht="13.8"/>
    <row r="111" s="232" customFormat="1" ht="13.8"/>
    <row r="112" s="232" customFormat="1" ht="13.8"/>
    <row r="113" spans="1:10" s="232" customFormat="1" ht="13.8"/>
    <row r="114" spans="1:10" s="232" customFormat="1" ht="13.8"/>
    <row r="115" spans="1:10" s="232" customFormat="1" ht="13.8"/>
    <row r="116" spans="1:10" s="232" customFormat="1" ht="13.8"/>
    <row r="117" spans="1:10" s="232" customFormat="1" ht="13.8"/>
    <row r="118" spans="1:10" s="232" customFormat="1" ht="13.8"/>
    <row r="119" spans="1:10" s="232" customFormat="1" ht="13.8"/>
    <row r="120" spans="1:10" ht="13.8">
      <c r="A120" s="232"/>
      <c r="B120" s="232"/>
      <c r="C120" s="232"/>
      <c r="D120" s="232"/>
      <c r="E120" s="232"/>
      <c r="F120" s="232"/>
      <c r="G120" s="232"/>
      <c r="H120" s="232"/>
      <c r="I120" s="232"/>
      <c r="J120" s="232"/>
    </row>
    <row r="121" spans="1:10" ht="13.8">
      <c r="A121" s="232"/>
      <c r="B121" s="232"/>
      <c r="C121" s="232"/>
      <c r="D121" s="232"/>
      <c r="E121" s="232"/>
      <c r="F121" s="232"/>
      <c r="G121" s="232"/>
      <c r="H121" s="232"/>
      <c r="I121" s="232"/>
      <c r="J121" s="232"/>
    </row>
    <row r="122" spans="1:10" ht="13.8">
      <c r="A122" s="232"/>
      <c r="B122" s="232"/>
      <c r="C122" s="232"/>
      <c r="D122" s="232"/>
      <c r="E122" s="232"/>
      <c r="F122" s="232"/>
      <c r="G122" s="232"/>
      <c r="H122" s="232"/>
      <c r="I122" s="232"/>
      <c r="J122" s="232"/>
    </row>
    <row r="123" spans="1:10" ht="13.8">
      <c r="A123" s="232"/>
      <c r="B123" s="232"/>
      <c r="C123" s="232"/>
      <c r="D123" s="232"/>
      <c r="E123" s="232"/>
      <c r="F123" s="232"/>
      <c r="G123" s="232"/>
      <c r="H123" s="232"/>
      <c r="I123" s="232"/>
      <c r="J123" s="232"/>
    </row>
    <row r="124" spans="1:10" ht="13.8">
      <c r="A124" s="232"/>
      <c r="B124" s="232"/>
      <c r="C124" s="232"/>
      <c r="D124" s="232"/>
      <c r="E124" s="232"/>
      <c r="F124" s="232"/>
      <c r="G124" s="232"/>
      <c r="H124" s="232"/>
      <c r="I124" s="232"/>
      <c r="J124" s="232"/>
    </row>
    <row r="125" spans="1:10" ht="13.8">
      <c r="A125" s="232"/>
      <c r="B125" s="232"/>
      <c r="C125" s="232"/>
      <c r="D125" s="232"/>
      <c r="E125" s="232"/>
      <c r="F125" s="232"/>
      <c r="G125" s="232"/>
      <c r="H125" s="232"/>
      <c r="I125" s="232"/>
      <c r="J125" s="232"/>
    </row>
    <row r="126" spans="1:10" ht="13.8">
      <c r="A126" s="232"/>
      <c r="B126" s="232"/>
      <c r="C126" s="232"/>
      <c r="D126" s="232"/>
      <c r="E126" s="232"/>
      <c r="F126" s="232"/>
      <c r="G126" s="232"/>
      <c r="H126" s="232"/>
      <c r="I126" s="232"/>
      <c r="J126" s="232"/>
    </row>
    <row r="127" spans="1:10" ht="13.8">
      <c r="A127" s="232"/>
      <c r="B127" s="232"/>
      <c r="C127" s="232"/>
      <c r="D127" s="232"/>
    </row>
    <row r="128" spans="1:10" ht="13.8">
      <c r="A128" s="232"/>
      <c r="B128" s="232"/>
      <c r="C128" s="232"/>
      <c r="D128" s="232"/>
    </row>
    <row r="129" spans="1:4" ht="13.8">
      <c r="A129" s="232"/>
      <c r="B129" s="232"/>
      <c r="C129" s="232"/>
      <c r="D129" s="232"/>
    </row>
    <row r="130" spans="1:4" ht="13.8">
      <c r="A130" s="232"/>
      <c r="B130" s="232"/>
      <c r="C130" s="232"/>
      <c r="D130" s="232"/>
    </row>
    <row r="131" spans="1:4" ht="13.8">
      <c r="A131" s="232"/>
      <c r="B131" s="232"/>
      <c r="C131" s="232"/>
      <c r="D131" s="232"/>
    </row>
    <row r="132" spans="1:4" ht="13.8">
      <c r="A132" s="232"/>
      <c r="B132" s="232"/>
      <c r="C132" s="232"/>
      <c r="D132" s="232"/>
    </row>
    <row r="133" spans="1:4" ht="13.8">
      <c r="A133" s="232"/>
      <c r="B133" s="232"/>
      <c r="C133" s="232"/>
      <c r="D133" s="232"/>
    </row>
  </sheetData>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5"/>
  <sheetViews>
    <sheetView view="pageBreakPreview" zoomScaleSheetLayoutView="100" workbookViewId="0">
      <selection activeCell="A78" sqref="A78:D78"/>
    </sheetView>
  </sheetViews>
  <sheetFormatPr defaultColWidth="8.77734375" defaultRowHeight="14.4"/>
  <cols>
    <col min="1" max="1" width="13.33203125" customWidth="1"/>
    <col min="2" max="3" width="11.33203125" customWidth="1"/>
    <col min="4" max="6" width="9.77734375" customWidth="1"/>
    <col min="7" max="7" width="12.6640625" customWidth="1"/>
    <col min="8" max="8" width="12.109375" customWidth="1"/>
    <col min="9" max="9" width="9.6640625" customWidth="1"/>
    <col min="10" max="10" width="20" customWidth="1"/>
    <col min="11" max="11" width="9.6640625" bestFit="1" customWidth="1"/>
  </cols>
  <sheetData>
    <row r="1" spans="1:20" ht="30" customHeight="1" thickBot="1">
      <c r="A1" s="2026" t="s">
        <v>125</v>
      </c>
      <c r="B1" s="2027"/>
      <c r="C1" s="2027"/>
      <c r="D1" s="2027"/>
      <c r="E1" s="2027"/>
      <c r="F1" s="2027"/>
      <c r="G1" s="2027"/>
      <c r="H1" s="2028"/>
      <c r="I1" s="2043"/>
      <c r="J1" s="2044"/>
    </row>
    <row r="2" spans="1:20" ht="12" customHeight="1" thickBot="1">
      <c r="A2" s="2042"/>
      <c r="B2" s="2042"/>
      <c r="C2" s="2042"/>
      <c r="D2" s="2042"/>
      <c r="E2" s="2042"/>
      <c r="F2" s="2042"/>
      <c r="G2" s="2042"/>
      <c r="H2" s="2042"/>
      <c r="I2" s="2042"/>
      <c r="J2" s="2042"/>
      <c r="K2" s="2"/>
      <c r="L2" s="2"/>
      <c r="M2" s="2"/>
    </row>
    <row r="3" spans="1:20" ht="25.95" customHeight="1" thickBot="1">
      <c r="A3" s="1123" t="s">
        <v>509</v>
      </c>
      <c r="B3" s="1124"/>
      <c r="C3" s="1124"/>
      <c r="D3" s="1124"/>
      <c r="E3" s="1124"/>
      <c r="F3" s="1124"/>
      <c r="G3" s="1124"/>
      <c r="H3" s="1193"/>
      <c r="I3" s="2045"/>
      <c r="J3" s="1653"/>
      <c r="K3" s="2"/>
    </row>
    <row r="4" spans="1:20" ht="21" customHeight="1" thickBot="1">
      <c r="A4" s="86"/>
      <c r="B4" s="1132" t="s">
        <v>37</v>
      </c>
      <c r="C4" s="1133"/>
      <c r="D4" s="1133"/>
      <c r="E4" s="1133"/>
      <c r="F4" s="1133"/>
      <c r="G4" s="1133"/>
      <c r="H4" s="1134"/>
      <c r="I4" s="2045"/>
      <c r="J4" s="1653"/>
      <c r="K4" s="2"/>
    </row>
    <row r="5" spans="1:20" ht="15" customHeight="1">
      <c r="A5" s="2019"/>
      <c r="B5" s="1516" t="s">
        <v>34</v>
      </c>
      <c r="C5" s="1445"/>
      <c r="D5" s="1516" t="s">
        <v>102</v>
      </c>
      <c r="E5" s="1445"/>
      <c r="F5" s="1516" t="s">
        <v>103</v>
      </c>
      <c r="G5" s="1445"/>
      <c r="H5" s="2023" t="s">
        <v>104</v>
      </c>
      <c r="I5" s="2045"/>
      <c r="J5" s="1653"/>
      <c r="K5" s="2"/>
    </row>
    <row r="6" spans="1:20" ht="33.75" customHeight="1" thickBot="1">
      <c r="A6" s="2020"/>
      <c r="B6" s="2021"/>
      <c r="C6" s="2022"/>
      <c r="D6" s="2021"/>
      <c r="E6" s="2022"/>
      <c r="F6" s="2021"/>
      <c r="G6" s="2022"/>
      <c r="H6" s="2024"/>
      <c r="I6" s="2045"/>
      <c r="J6" s="1653"/>
      <c r="K6" s="2"/>
    </row>
    <row r="7" spans="1:20" ht="16.95" customHeight="1">
      <c r="A7" s="87" t="s">
        <v>35</v>
      </c>
      <c r="B7" s="2047">
        <v>99</v>
      </c>
      <c r="C7" s="2048"/>
      <c r="D7" s="2047">
        <v>66</v>
      </c>
      <c r="E7" s="2048"/>
      <c r="F7" s="2029">
        <v>33</v>
      </c>
      <c r="G7" s="2029"/>
      <c r="H7" s="127">
        <v>0</v>
      </c>
      <c r="I7" s="2045"/>
      <c r="J7" s="1653"/>
      <c r="K7" s="2"/>
    </row>
    <row r="8" spans="1:20" ht="16.95" customHeight="1" thickBot="1">
      <c r="A8" s="88" t="s">
        <v>36</v>
      </c>
      <c r="B8" s="2030">
        <v>198</v>
      </c>
      <c r="C8" s="2031"/>
      <c r="D8" s="2049">
        <v>132</v>
      </c>
      <c r="E8" s="2050"/>
      <c r="F8" s="2025">
        <v>66</v>
      </c>
      <c r="G8" s="2025"/>
      <c r="H8" s="128">
        <v>0</v>
      </c>
      <c r="I8" s="2045"/>
      <c r="J8" s="1653"/>
      <c r="K8" s="2"/>
    </row>
    <row r="9" spans="1:20" ht="16.95" customHeight="1" thickBot="1">
      <c r="A9" s="89" t="s">
        <v>22</v>
      </c>
      <c r="B9" s="2032">
        <f>SUM(B7:C8)</f>
        <v>297</v>
      </c>
      <c r="C9" s="2032"/>
      <c r="D9" s="2051">
        <f>SUM(D7:E8)</f>
        <v>198</v>
      </c>
      <c r="E9" s="2052"/>
      <c r="F9" s="2032">
        <f>SUM(F7:G8)</f>
        <v>99</v>
      </c>
      <c r="G9" s="2032"/>
      <c r="H9" s="129">
        <f>SUM(H7:I8)</f>
        <v>0</v>
      </c>
      <c r="I9" s="2045"/>
      <c r="J9" s="1653"/>
      <c r="K9" s="130"/>
    </row>
    <row r="10" spans="1:20" ht="16.95" customHeight="1">
      <c r="A10" s="2046" t="s">
        <v>471</v>
      </c>
      <c r="B10" s="2046"/>
      <c r="C10" s="2046"/>
      <c r="D10" s="2046"/>
      <c r="E10" s="2046"/>
      <c r="F10" s="2046"/>
      <c r="G10" s="2046"/>
      <c r="H10" s="2046"/>
      <c r="I10" s="989"/>
      <c r="J10" s="989"/>
      <c r="K10" s="6"/>
      <c r="L10" s="2"/>
      <c r="M10" s="130"/>
    </row>
    <row r="11" spans="1:20" ht="16.05" customHeight="1" thickBot="1">
      <c r="A11" s="2042"/>
      <c r="B11" s="2042"/>
      <c r="C11" s="2042"/>
      <c r="D11" s="2042"/>
      <c r="E11" s="2042"/>
      <c r="F11" s="2042"/>
      <c r="G11" s="2042"/>
      <c r="H11" s="2042"/>
      <c r="I11" s="2042"/>
      <c r="J11" s="2042"/>
      <c r="K11" s="2"/>
      <c r="L11" s="2"/>
      <c r="M11" s="2"/>
    </row>
    <row r="12" spans="1:20" s="2" customFormat="1" ht="25.95" customHeight="1" thickBot="1">
      <c r="A12" s="2034" t="s">
        <v>64</v>
      </c>
      <c r="B12" s="2035"/>
      <c r="C12" s="2035"/>
      <c r="D12" s="2035"/>
      <c r="E12" s="2035"/>
      <c r="F12" s="2035"/>
      <c r="G12" s="2035"/>
      <c r="H12" s="2036"/>
      <c r="M12" s="16"/>
      <c r="N12" s="16"/>
      <c r="O12" s="16"/>
      <c r="P12" s="16"/>
      <c r="Q12" s="16"/>
      <c r="R12" s="16"/>
      <c r="S12" s="16"/>
      <c r="T12" s="16"/>
    </row>
    <row r="13" spans="1:20" s="2" customFormat="1" ht="21" customHeight="1" thickBot="1">
      <c r="A13" s="2037" t="s">
        <v>203</v>
      </c>
      <c r="B13" s="2038"/>
      <c r="C13" s="2038"/>
      <c r="D13" s="2038"/>
      <c r="E13" s="2038"/>
      <c r="F13" s="2038"/>
      <c r="G13" s="2039"/>
      <c r="H13" s="102" t="s">
        <v>63</v>
      </c>
      <c r="M13" s="16"/>
      <c r="N13" s="16"/>
      <c r="O13" s="16"/>
      <c r="P13" s="16"/>
      <c r="Q13" s="16"/>
      <c r="R13" s="16"/>
      <c r="S13" s="16"/>
      <c r="T13" s="16"/>
    </row>
    <row r="14" spans="1:20" s="2" customFormat="1" ht="16.95" customHeight="1" thickBot="1">
      <c r="A14" s="2061" t="s">
        <v>65</v>
      </c>
      <c r="B14" s="2062"/>
      <c r="C14" s="2062"/>
      <c r="D14" s="2062"/>
      <c r="E14" s="2062"/>
      <c r="F14" s="2062"/>
      <c r="G14" s="2063"/>
      <c r="H14" s="103">
        <v>108.35</v>
      </c>
      <c r="M14" s="16"/>
      <c r="N14" s="16"/>
      <c r="O14" s="16"/>
      <c r="P14" s="16"/>
      <c r="Q14" s="16"/>
      <c r="R14" s="16"/>
      <c r="S14" s="16"/>
      <c r="T14" s="16"/>
    </row>
    <row r="15" spans="1:20" s="2" customFormat="1" ht="21" customHeight="1" thickBot="1">
      <c r="A15" s="2064" t="s">
        <v>445</v>
      </c>
      <c r="B15" s="2065"/>
      <c r="C15" s="2065"/>
      <c r="D15" s="2065"/>
      <c r="E15" s="2065"/>
      <c r="F15" s="2065"/>
      <c r="G15" s="2066"/>
      <c r="H15" s="104" t="s">
        <v>89</v>
      </c>
      <c r="M15" s="16"/>
      <c r="N15" s="16"/>
      <c r="O15" s="16"/>
      <c r="P15" s="16"/>
      <c r="Q15" s="16"/>
      <c r="R15" s="16"/>
      <c r="S15" s="16"/>
      <c r="T15" s="16"/>
    </row>
    <row r="16" spans="1:20" s="2" customFormat="1" ht="16.05" customHeight="1">
      <c r="A16" s="2067" t="s">
        <v>501</v>
      </c>
      <c r="B16" s="2068"/>
      <c r="C16" s="2068"/>
      <c r="D16" s="2068"/>
      <c r="E16" s="2068"/>
      <c r="F16" s="2068"/>
      <c r="G16" s="2069"/>
      <c r="H16" s="2073">
        <v>250</v>
      </c>
      <c r="M16" s="16"/>
      <c r="N16" s="16"/>
      <c r="O16" s="16"/>
      <c r="P16" s="16"/>
      <c r="Q16" s="16"/>
      <c r="R16" s="16"/>
      <c r="S16" s="16"/>
      <c r="T16" s="16"/>
    </row>
    <row r="17" spans="1:20" s="2" customFormat="1" ht="46.95" customHeight="1" thickBot="1">
      <c r="A17" s="2070"/>
      <c r="B17" s="2071"/>
      <c r="C17" s="2071"/>
      <c r="D17" s="2071"/>
      <c r="E17" s="2071"/>
      <c r="F17" s="2071"/>
      <c r="G17" s="2072"/>
      <c r="H17" s="2074"/>
      <c r="M17" s="16"/>
      <c r="N17" s="16"/>
      <c r="O17" s="16"/>
      <c r="P17" s="16"/>
      <c r="Q17" s="16"/>
      <c r="R17" s="16"/>
      <c r="S17" s="16"/>
      <c r="T17" s="16"/>
    </row>
    <row r="18" spans="1:20" s="2" customFormat="1" ht="16.05" customHeight="1" thickBot="1">
      <c r="A18" s="20"/>
      <c r="B18" s="20"/>
      <c r="C18" s="20"/>
      <c r="D18" s="20"/>
      <c r="E18" s="20"/>
      <c r="F18" s="20"/>
      <c r="G18" s="20"/>
      <c r="H18" s="20"/>
      <c r="M18" s="16"/>
      <c r="N18" s="16"/>
      <c r="O18" s="16"/>
      <c r="P18" s="16"/>
      <c r="Q18" s="16"/>
      <c r="R18" s="16"/>
      <c r="S18" s="16"/>
      <c r="T18" s="16"/>
    </row>
    <row r="19" spans="1:20" ht="25.95" customHeight="1" thickBot="1">
      <c r="A19" s="1123" t="s">
        <v>266</v>
      </c>
      <c r="B19" s="1124"/>
      <c r="C19" s="1124"/>
      <c r="D19" s="1124"/>
      <c r="E19" s="1124"/>
      <c r="F19" s="1124"/>
      <c r="G19" s="1124"/>
      <c r="H19" s="1193"/>
      <c r="I19" s="20"/>
      <c r="J19" s="20"/>
      <c r="K19" s="2"/>
      <c r="L19" s="2"/>
      <c r="M19" s="2"/>
    </row>
    <row r="20" spans="1:20" ht="24" customHeight="1">
      <c r="A20" s="2076" t="s">
        <v>38</v>
      </c>
      <c r="B20" s="1516" t="s">
        <v>42</v>
      </c>
      <c r="C20" s="2033"/>
      <c r="D20" s="1445"/>
      <c r="E20" s="1516" t="s">
        <v>42</v>
      </c>
      <c r="F20" s="2033"/>
      <c r="G20" s="2033"/>
      <c r="H20" s="1445"/>
      <c r="I20" s="17"/>
      <c r="J20" s="17"/>
      <c r="K20" s="17"/>
      <c r="L20" s="2"/>
      <c r="M20" s="2"/>
      <c r="N20" s="2"/>
    </row>
    <row r="21" spans="1:20" ht="15" thickBot="1">
      <c r="A21" s="2020"/>
      <c r="B21" s="2058">
        <v>40999</v>
      </c>
      <c r="C21" s="2059"/>
      <c r="D21" s="2060"/>
      <c r="E21" s="2058" t="str">
        <f>'Løntabel gældende fra'!$D$1</f>
        <v>01-08-2026</v>
      </c>
      <c r="F21" s="2059"/>
      <c r="G21" s="2059"/>
      <c r="H21" s="2060"/>
      <c r="I21" s="2057"/>
      <c r="J21" s="2057"/>
      <c r="K21" s="2057"/>
      <c r="L21" s="2"/>
      <c r="M21" s="2"/>
      <c r="N21" s="2"/>
    </row>
    <row r="22" spans="1:20" ht="16.95" customHeight="1">
      <c r="A22" s="82" t="s">
        <v>39</v>
      </c>
      <c r="B22" s="2082">
        <v>6000</v>
      </c>
      <c r="C22" s="2083"/>
      <c r="D22" s="2084"/>
      <c r="E22" s="2077">
        <f>ROUND(B22+B22*'Løntabel gældende fra'!$D$7%,2)</f>
        <v>7639.22</v>
      </c>
      <c r="F22" s="2077"/>
      <c r="G22" s="2077"/>
      <c r="H22" s="2078"/>
      <c r="I22" s="2057"/>
      <c r="J22" s="2057"/>
      <c r="K22" s="2057"/>
      <c r="L22" s="2"/>
      <c r="M22" s="2"/>
      <c r="N22" s="2"/>
    </row>
    <row r="23" spans="1:20" ht="16.95" customHeight="1">
      <c r="A23" s="83" t="s">
        <v>40</v>
      </c>
      <c r="B23" s="2085">
        <v>7600</v>
      </c>
      <c r="C23" s="2086"/>
      <c r="D23" s="2087"/>
      <c r="E23" s="2080">
        <f>ROUND(B23+B23*'Løntabel gældende fra'!$D$7%,2)</f>
        <v>9676.35</v>
      </c>
      <c r="F23" s="2080"/>
      <c r="G23" s="2080"/>
      <c r="H23" s="2081"/>
      <c r="I23" s="2079"/>
      <c r="J23" s="2079"/>
      <c r="K23" s="24"/>
      <c r="L23" s="2"/>
      <c r="M23" s="2"/>
      <c r="N23" s="2"/>
    </row>
    <row r="24" spans="1:20" ht="16.95" customHeight="1" thickBot="1">
      <c r="A24" s="84" t="s">
        <v>41</v>
      </c>
      <c r="B24" s="2090">
        <v>9000</v>
      </c>
      <c r="C24" s="2091"/>
      <c r="D24" s="2092"/>
      <c r="E24" s="2088">
        <f>ROUND(B24+B24*'Løntabel gældende fra'!$D$7%,2)</f>
        <v>11458.84</v>
      </c>
      <c r="F24" s="2088"/>
      <c r="G24" s="2088"/>
      <c r="H24" s="2089"/>
      <c r="I24" s="2075"/>
      <c r="J24" s="2075"/>
      <c r="K24" s="25"/>
      <c r="L24" s="2"/>
      <c r="M24" s="2"/>
      <c r="N24" s="2"/>
    </row>
    <row r="25" spans="1:20" ht="13.95" customHeight="1" thickBot="1">
      <c r="A25" s="2"/>
      <c r="B25" s="2"/>
      <c r="C25" s="2"/>
      <c r="D25" s="2"/>
      <c r="E25" s="2"/>
      <c r="F25" s="2"/>
      <c r="G25" s="2"/>
      <c r="H25" s="2"/>
      <c r="I25" s="2075"/>
      <c r="J25" s="2075"/>
      <c r="K25" s="25"/>
      <c r="L25" s="2"/>
      <c r="M25" s="2"/>
      <c r="N25" s="2"/>
    </row>
    <row r="26" spans="1:20" ht="25.95" customHeight="1" thickBot="1">
      <c r="A26" s="1123" t="s">
        <v>354</v>
      </c>
      <c r="B26" s="1124"/>
      <c r="C26" s="1124"/>
      <c r="D26" s="1124"/>
      <c r="E26" s="1124"/>
      <c r="F26" s="1124"/>
      <c r="G26" s="1124"/>
      <c r="H26" s="1193"/>
      <c r="I26" s="2"/>
      <c r="J26" s="2"/>
      <c r="K26" s="2"/>
      <c r="L26" s="2"/>
      <c r="M26" s="2"/>
    </row>
    <row r="27" spans="1:20" ht="18.75" customHeight="1" thickBot="1">
      <c r="A27" s="2110" t="str">
        <f>'Forside 1'!A6</f>
        <v>Gældende fra 1. august 2026</v>
      </c>
      <c r="B27" s="2111"/>
      <c r="C27" s="2111"/>
      <c r="D27" s="2112"/>
      <c r="E27" s="1119" t="s">
        <v>130</v>
      </c>
      <c r="F27" s="1120"/>
      <c r="G27" s="2007" t="s">
        <v>131</v>
      </c>
      <c r="H27" s="2009"/>
      <c r="I27" s="200"/>
      <c r="J27" s="2"/>
      <c r="K27" s="2"/>
      <c r="L27" s="2"/>
      <c r="M27" s="2"/>
    </row>
    <row r="28" spans="1:20" ht="61.95" customHeight="1" thickBot="1">
      <c r="A28" s="2113"/>
      <c r="B28" s="2114"/>
      <c r="C28" s="2114"/>
      <c r="D28" s="2115"/>
      <c r="E28" s="528" t="s">
        <v>357</v>
      </c>
      <c r="F28" s="528" t="s">
        <v>295</v>
      </c>
      <c r="G28" s="499" t="s">
        <v>357</v>
      </c>
      <c r="H28" s="529" t="s">
        <v>295</v>
      </c>
      <c r="I28" s="561"/>
      <c r="J28" s="561"/>
      <c r="K28" s="26"/>
      <c r="L28" s="2"/>
      <c r="M28" s="2"/>
      <c r="N28" s="2"/>
    </row>
    <row r="29" spans="1:20" ht="16.95" customHeight="1">
      <c r="A29" s="2010" t="s">
        <v>132</v>
      </c>
      <c r="B29" s="2011"/>
      <c r="C29" s="2011"/>
      <c r="D29" s="560"/>
      <c r="E29" s="530">
        <v>538</v>
      </c>
      <c r="F29" s="196">
        <f t="shared" ref="F29:F34" si="0">ROUND(E29/24,2)</f>
        <v>22.42</v>
      </c>
      <c r="G29" s="264">
        <v>625</v>
      </c>
      <c r="H29" s="534">
        <f t="shared" ref="H29:H34" si="1">ROUND(G29/24,2)</f>
        <v>26.04</v>
      </c>
      <c r="I29" s="561"/>
      <c r="J29" s="561"/>
      <c r="K29" s="26"/>
      <c r="L29" s="2"/>
      <c r="M29" s="2"/>
      <c r="N29" s="2"/>
    </row>
    <row r="30" spans="1:20" ht="16.95" customHeight="1">
      <c r="A30" s="2108" t="s">
        <v>298</v>
      </c>
      <c r="B30" s="2109"/>
      <c r="C30" s="2109"/>
      <c r="D30" s="559"/>
      <c r="E30" s="531">
        <f>(E29*15)/100</f>
        <v>80.7</v>
      </c>
      <c r="F30" s="197">
        <f t="shared" si="0"/>
        <v>3.36</v>
      </c>
      <c r="G30" s="265">
        <f>(G29*15)/100</f>
        <v>93.75</v>
      </c>
      <c r="H30" s="535">
        <f t="shared" si="1"/>
        <v>3.91</v>
      </c>
      <c r="I30" s="195"/>
      <c r="K30" s="46"/>
      <c r="L30" s="2"/>
      <c r="M30" s="2"/>
      <c r="N30" s="2"/>
    </row>
    <row r="31" spans="1:20" ht="16.95" customHeight="1">
      <c r="A31" s="2108" t="s">
        <v>299</v>
      </c>
      <c r="B31" s="2109"/>
      <c r="C31" s="2109"/>
      <c r="D31" s="559"/>
      <c r="E31" s="531">
        <f>(E29*30)/100</f>
        <v>161.4</v>
      </c>
      <c r="F31" s="197">
        <f t="shared" si="0"/>
        <v>6.73</v>
      </c>
      <c r="G31" s="266">
        <f>(G29*30)/100</f>
        <v>187.5</v>
      </c>
      <c r="H31" s="535">
        <f t="shared" si="1"/>
        <v>7.81</v>
      </c>
      <c r="I31" s="195"/>
      <c r="K31" s="47"/>
      <c r="L31" s="268"/>
      <c r="M31" s="2"/>
      <c r="N31" s="2"/>
    </row>
    <row r="32" spans="1:20" ht="16.95" customHeight="1">
      <c r="A32" s="2108" t="s">
        <v>300</v>
      </c>
      <c r="B32" s="2109"/>
      <c r="C32" s="2109"/>
      <c r="D32" s="559"/>
      <c r="E32" s="531">
        <f>(E29*30)/100</f>
        <v>161.4</v>
      </c>
      <c r="F32" s="197">
        <f t="shared" si="0"/>
        <v>6.73</v>
      </c>
      <c r="G32" s="267">
        <f>(G29*30)/100</f>
        <v>187.5</v>
      </c>
      <c r="H32" s="535">
        <f t="shared" si="1"/>
        <v>7.81</v>
      </c>
      <c r="I32" s="195"/>
      <c r="K32" s="48"/>
      <c r="L32" s="2"/>
      <c r="M32" s="2"/>
      <c r="N32" s="2"/>
    </row>
    <row r="33" spans="1:14" ht="16.95" customHeight="1">
      <c r="A33" s="2108" t="s">
        <v>301</v>
      </c>
      <c r="B33" s="2109"/>
      <c r="C33" s="2109"/>
      <c r="D33" s="559"/>
      <c r="E33" s="531">
        <f>(E29*75)/100</f>
        <v>403.5</v>
      </c>
      <c r="F33" s="197">
        <f t="shared" si="0"/>
        <v>16.809999999999999</v>
      </c>
      <c r="G33" s="266">
        <f>(G29*75)/100</f>
        <v>468.75</v>
      </c>
      <c r="H33" s="535">
        <f t="shared" si="1"/>
        <v>19.53</v>
      </c>
      <c r="I33" s="195"/>
      <c r="K33" s="49"/>
      <c r="L33" s="2"/>
      <c r="M33" s="2"/>
      <c r="N33" s="2"/>
    </row>
    <row r="34" spans="1:14" ht="16.95" customHeight="1" thickBot="1">
      <c r="A34" s="2120" t="s">
        <v>58</v>
      </c>
      <c r="B34" s="2121"/>
      <c r="C34" s="2121"/>
      <c r="D34" s="498"/>
      <c r="E34" s="532">
        <f>E29-E33</f>
        <v>134.5</v>
      </c>
      <c r="F34" s="198">
        <f t="shared" si="0"/>
        <v>5.6</v>
      </c>
      <c r="G34" s="449">
        <f>G29-G33</f>
        <v>156.25</v>
      </c>
      <c r="H34" s="536">
        <f t="shared" si="1"/>
        <v>6.51</v>
      </c>
      <c r="I34" s="195"/>
      <c r="K34" s="49"/>
      <c r="L34" s="2"/>
      <c r="M34" s="2"/>
      <c r="N34" s="2"/>
    </row>
    <row r="35" spans="1:14" ht="16.95" customHeight="1" thickBot="1">
      <c r="A35" s="71"/>
      <c r="B35" s="71"/>
      <c r="C35" s="71"/>
      <c r="D35" s="91"/>
      <c r="E35" s="91"/>
      <c r="F35" s="91"/>
      <c r="G35" s="533"/>
      <c r="H35" s="195"/>
      <c r="I35" s="195"/>
      <c r="K35" s="49"/>
      <c r="L35" s="2"/>
      <c r="M35" s="2"/>
      <c r="N35" s="2"/>
    </row>
    <row r="36" spans="1:14" ht="25.95" customHeight="1" thickBot="1">
      <c r="A36" s="1123" t="s">
        <v>59</v>
      </c>
      <c r="B36" s="1124"/>
      <c r="C36" s="1124"/>
      <c r="D36" s="1124"/>
      <c r="E36" s="1124"/>
      <c r="F36" s="1124"/>
      <c r="G36" s="1124"/>
      <c r="H36" s="1193"/>
      <c r="J36" s="2"/>
      <c r="K36" s="2"/>
      <c r="L36" s="2"/>
      <c r="M36" s="2"/>
    </row>
    <row r="37" spans="1:14" ht="24" customHeight="1">
      <c r="A37" s="2016" t="s">
        <v>552</v>
      </c>
      <c r="B37" s="2017"/>
      <c r="C37" s="2017"/>
      <c r="D37" s="2017"/>
      <c r="E37" s="2017"/>
      <c r="F37" s="2017"/>
      <c r="G37" s="2018"/>
      <c r="H37" s="105" t="s">
        <v>63</v>
      </c>
      <c r="I37" s="523"/>
      <c r="J37" s="523"/>
      <c r="K37" s="2"/>
      <c r="L37" s="2"/>
      <c r="M37" s="2"/>
    </row>
    <row r="38" spans="1:14" ht="17.25" customHeight="1">
      <c r="A38" s="2122" t="s">
        <v>129</v>
      </c>
      <c r="B38" s="2123"/>
      <c r="C38" s="2123"/>
      <c r="D38" s="2123"/>
      <c r="E38" s="500"/>
      <c r="F38" s="500"/>
      <c r="G38" s="500"/>
      <c r="H38" s="106">
        <v>2.2799999999999998</v>
      </c>
      <c r="I38" s="558"/>
      <c r="J38" s="523"/>
      <c r="K38" s="523"/>
      <c r="L38" s="2"/>
      <c r="M38" s="2"/>
      <c r="N38" s="2"/>
    </row>
    <row r="39" spans="1:14" ht="16.95" customHeight="1" thickBot="1">
      <c r="A39" s="2124" t="s">
        <v>457</v>
      </c>
      <c r="B39" s="2125"/>
      <c r="C39" s="2125"/>
      <c r="D39" s="2125"/>
      <c r="E39" s="501"/>
      <c r="F39" s="501"/>
      <c r="G39" s="501"/>
      <c r="H39" s="107">
        <v>3.94</v>
      </c>
      <c r="I39" s="558"/>
      <c r="J39" s="523"/>
      <c r="K39" s="523"/>
      <c r="L39" s="2"/>
      <c r="M39" s="2"/>
      <c r="N39" s="2"/>
    </row>
    <row r="40" spans="1:14" ht="16.95" customHeight="1">
      <c r="A40" s="2053" t="s">
        <v>553</v>
      </c>
      <c r="B40" s="2053"/>
      <c r="C40" s="2053"/>
      <c r="D40" s="2053"/>
      <c r="E40" s="502"/>
      <c r="F40" s="502"/>
      <c r="G40" s="43"/>
      <c r="H40" s="13"/>
      <c r="I40" s="13"/>
      <c r="J40" s="13"/>
      <c r="K40" s="13"/>
    </row>
    <row r="41" spans="1:14" ht="18" customHeight="1" thickBot="1">
      <c r="A41" s="13"/>
      <c r="B41" s="13"/>
      <c r="C41" s="13"/>
      <c r="D41" s="13"/>
      <c r="E41" s="13"/>
      <c r="F41" s="13"/>
      <c r="G41" s="13"/>
      <c r="H41" s="13"/>
      <c r="I41" s="13"/>
      <c r="J41" s="13"/>
    </row>
    <row r="42" spans="1:14" ht="25.95" customHeight="1" thickBot="1">
      <c r="A42" s="1123" t="s">
        <v>60</v>
      </c>
      <c r="B42" s="1124"/>
      <c r="C42" s="1124"/>
      <c r="D42" s="1124"/>
      <c r="E42" s="1124"/>
      <c r="F42" s="1124"/>
      <c r="G42" s="1124"/>
      <c r="H42" s="1193"/>
      <c r="I42" s="13"/>
      <c r="J42" s="13"/>
    </row>
    <row r="43" spans="1:14" ht="24" customHeight="1" thickBot="1">
      <c r="A43" s="2007" t="str">
        <f>A37</f>
        <v>Gældende fra 1. januar 2026</v>
      </c>
      <c r="B43" s="2008"/>
      <c r="C43" s="2008"/>
      <c r="D43" s="2008"/>
      <c r="E43" s="2008"/>
      <c r="F43" s="2008"/>
      <c r="G43" s="2009"/>
      <c r="H43" s="90" t="s">
        <v>63</v>
      </c>
    </row>
    <row r="44" spans="1:14" ht="19.05" customHeight="1">
      <c r="A44" s="2010" t="s">
        <v>61</v>
      </c>
      <c r="B44" s="2011"/>
      <c r="C44" s="2011"/>
      <c r="D44" s="2011"/>
      <c r="E44" s="2011"/>
      <c r="F44" s="2011"/>
      <c r="G44" s="2012"/>
      <c r="H44" s="108">
        <v>1017</v>
      </c>
    </row>
    <row r="45" spans="1:14" ht="16.95" customHeight="1" thickBot="1">
      <c r="A45" s="2013" t="s">
        <v>62</v>
      </c>
      <c r="B45" s="2014"/>
      <c r="C45" s="2014"/>
      <c r="D45" s="2014"/>
      <c r="E45" s="2014"/>
      <c r="F45" s="2014"/>
      <c r="G45" s="2015"/>
      <c r="H45" s="107">
        <v>678</v>
      </c>
      <c r="I45" s="13"/>
      <c r="J45" s="13"/>
      <c r="K45" s="13"/>
    </row>
    <row r="46" spans="1:14" ht="18" customHeight="1" thickBot="1">
      <c r="A46" s="2119"/>
      <c r="B46" s="2119"/>
      <c r="C46" s="2119"/>
      <c r="D46" s="2119"/>
      <c r="E46" s="2119"/>
      <c r="F46" s="2119"/>
      <c r="G46" s="2119"/>
      <c r="H46" s="2119"/>
      <c r="I46" s="13"/>
      <c r="J46" s="13"/>
    </row>
    <row r="47" spans="1:14" ht="25.95" customHeight="1" thickBot="1">
      <c r="A47" s="1123" t="s">
        <v>423</v>
      </c>
      <c r="B47" s="1124"/>
      <c r="C47" s="1124"/>
      <c r="D47" s="1124"/>
      <c r="E47" s="1124"/>
      <c r="F47" s="1124"/>
      <c r="G47" s="1124"/>
      <c r="H47" s="1193"/>
      <c r="I47" s="13"/>
      <c r="J47" s="13"/>
    </row>
    <row r="48" spans="1:14" ht="24" customHeight="1" thickBot="1">
      <c r="A48" s="2007" t="str">
        <f>A43</f>
        <v>Gældende fra 1. januar 2026</v>
      </c>
      <c r="B48" s="2008"/>
      <c r="C48" s="2008"/>
      <c r="D48" s="2008"/>
      <c r="E48" s="2008"/>
      <c r="F48" s="2008"/>
      <c r="G48" s="2009"/>
      <c r="H48" s="90" t="s">
        <v>63</v>
      </c>
    </row>
    <row r="49" spans="1:16" ht="19.05" customHeight="1">
      <c r="A49" s="2010" t="s">
        <v>422</v>
      </c>
      <c r="B49" s="2011"/>
      <c r="C49" s="2011"/>
      <c r="D49" s="2011"/>
      <c r="E49" s="2011"/>
      <c r="F49" s="2011"/>
      <c r="G49" s="2012"/>
      <c r="H49" s="108">
        <v>1017</v>
      </c>
    </row>
    <row r="50" spans="1:16" ht="16.95" customHeight="1" thickBot="1">
      <c r="A50" s="2013" t="s">
        <v>424</v>
      </c>
      <c r="B50" s="2014"/>
      <c r="C50" s="2014"/>
      <c r="D50" s="2014"/>
      <c r="E50" s="2014"/>
      <c r="F50" s="2014"/>
      <c r="G50" s="2015"/>
      <c r="H50" s="107">
        <v>509</v>
      </c>
    </row>
    <row r="51" spans="1:16" ht="16.95" customHeight="1">
      <c r="A51" s="802"/>
      <c r="B51" s="802"/>
      <c r="C51" s="802"/>
      <c r="D51" s="802"/>
      <c r="E51" s="802"/>
      <c r="F51" s="802"/>
      <c r="G51" s="802"/>
      <c r="H51" s="802"/>
    </row>
    <row r="52" spans="1:16" ht="12" customHeight="1" thickBot="1">
      <c r="A52" s="802"/>
      <c r="B52" s="802"/>
      <c r="C52" s="802"/>
      <c r="D52" s="802"/>
      <c r="E52" s="802"/>
      <c r="F52" s="802"/>
      <c r="G52" s="802"/>
    </row>
    <row r="53" spans="1:16" ht="22.05" customHeight="1">
      <c r="A53" s="1114" t="s">
        <v>425</v>
      </c>
      <c r="B53" s="1115"/>
      <c r="C53" s="1115"/>
      <c r="D53" s="1115"/>
      <c r="E53" s="1115"/>
      <c r="F53" s="1115"/>
      <c r="G53" s="1115"/>
      <c r="H53" s="1116"/>
    </row>
    <row r="54" spans="1:16" ht="16.95" customHeight="1" thickBot="1">
      <c r="A54" s="1169" t="s">
        <v>280</v>
      </c>
      <c r="B54" s="1170"/>
      <c r="C54" s="1170"/>
      <c r="D54" s="1170"/>
      <c r="E54" s="1170"/>
      <c r="F54" s="1170"/>
      <c r="G54" s="1170"/>
      <c r="H54" s="1171"/>
      <c r="I54" s="13"/>
      <c r="J54" s="13"/>
    </row>
    <row r="55" spans="1:16" ht="16.95" customHeight="1">
      <c r="A55" s="623"/>
      <c r="B55" s="624"/>
      <c r="C55" s="624"/>
      <c r="D55" s="624"/>
      <c r="E55" s="624"/>
      <c r="F55" s="624"/>
      <c r="G55" s="626" t="s">
        <v>95</v>
      </c>
      <c r="H55" s="625" t="s">
        <v>100</v>
      </c>
      <c r="I55" s="13"/>
      <c r="J55" s="13"/>
      <c r="K55" s="13"/>
    </row>
    <row r="56" spans="1:16" ht="18" customHeight="1" thickBot="1">
      <c r="A56" s="621"/>
      <c r="B56" s="622"/>
      <c r="C56" s="622"/>
      <c r="D56" s="622"/>
      <c r="E56" s="622"/>
      <c r="F56" s="622"/>
      <c r="G56" s="527">
        <v>40999</v>
      </c>
      <c r="H56" s="543" t="str">
        <f>'Løntabel gældende fra'!$D$1</f>
        <v>01-08-2026</v>
      </c>
      <c r="I56" s="562"/>
      <c r="J56" s="562"/>
      <c r="K56" s="562"/>
    </row>
    <row r="57" spans="1:16" ht="16.95" customHeight="1">
      <c r="A57" s="2005" t="s">
        <v>198</v>
      </c>
      <c r="B57" s="2006"/>
      <c r="C57" s="2006"/>
      <c r="D57" s="2006"/>
      <c r="E57" s="2006"/>
      <c r="F57" s="884" t="s">
        <v>162</v>
      </c>
      <c r="G57" s="158">
        <v>22.32</v>
      </c>
      <c r="H57" s="885">
        <f>G57+G57*'Løntabel gældende fra'!$D$7%</f>
        <v>28.41791328</v>
      </c>
      <c r="I57" s="562"/>
      <c r="J57" s="562"/>
      <c r="K57" s="562"/>
    </row>
    <row r="58" spans="1:16" ht="16.95" customHeight="1">
      <c r="A58" s="1993" t="s">
        <v>443</v>
      </c>
      <c r="B58" s="1994"/>
      <c r="C58" s="1994"/>
      <c r="D58" s="1994"/>
      <c r="E58" s="1994"/>
      <c r="F58" s="1997" t="s">
        <v>162</v>
      </c>
      <c r="G58" s="1999">
        <v>39.92</v>
      </c>
      <c r="H58" s="2001">
        <f>G58+G58*'Løntabel gældende fra'!$D$7%</f>
        <v>50.826303680000002</v>
      </c>
      <c r="I58" s="2040"/>
      <c r="J58" s="2041"/>
      <c r="K58" s="2041"/>
      <c r="L58" s="2041"/>
      <c r="M58" s="2041"/>
      <c r="N58" s="2041"/>
      <c r="O58" s="2041"/>
      <c r="P58" s="2041"/>
    </row>
    <row r="59" spans="1:16" ht="45" customHeight="1">
      <c r="A59" s="1995"/>
      <c r="B59" s="1996"/>
      <c r="C59" s="1996"/>
      <c r="D59" s="1996"/>
      <c r="E59" s="1996"/>
      <c r="F59" s="1998"/>
      <c r="G59" s="2000"/>
      <c r="H59" s="2002"/>
      <c r="I59" s="2040"/>
      <c r="J59" s="2041"/>
      <c r="K59" s="2041"/>
      <c r="L59" s="2041"/>
      <c r="M59" s="2041"/>
      <c r="N59" s="2041"/>
      <c r="O59" s="2041"/>
      <c r="P59" s="2041"/>
    </row>
    <row r="60" spans="1:16" ht="33.6" customHeight="1">
      <c r="A60" s="2003" t="s">
        <v>215</v>
      </c>
      <c r="B60" s="2004"/>
      <c r="C60" s="2004"/>
      <c r="D60" s="2004"/>
      <c r="E60" s="2004"/>
      <c r="F60" s="883" t="s">
        <v>162</v>
      </c>
      <c r="G60" s="175">
        <v>39.92</v>
      </c>
      <c r="H60" s="810">
        <f>G60+G60*'Løntabel gældende fra'!$D$7%</f>
        <v>50.826303680000002</v>
      </c>
      <c r="I60" s="2040"/>
      <c r="J60" s="2041"/>
      <c r="K60" s="2041"/>
      <c r="L60" s="2041"/>
      <c r="M60" s="2041"/>
      <c r="N60" s="2041"/>
      <c r="O60" s="2041"/>
      <c r="P60" s="2041"/>
    </row>
    <row r="61" spans="1:16" ht="16.95" customHeight="1">
      <c r="A61" s="1989" t="s">
        <v>161</v>
      </c>
      <c r="B61" s="1990"/>
      <c r="C61" s="1990"/>
      <c r="D61" s="1990"/>
      <c r="E61" s="1990"/>
      <c r="F61" s="812" t="s">
        <v>162</v>
      </c>
      <c r="G61" s="175">
        <v>39.92</v>
      </c>
      <c r="H61" s="810">
        <f>G61+G61*'Løntabel gældende fra'!$D$7%</f>
        <v>50.826303680000002</v>
      </c>
      <c r="I61" s="2040"/>
      <c r="J61" s="2041"/>
      <c r="K61" s="2041"/>
      <c r="L61" s="2041"/>
      <c r="M61" s="2041"/>
      <c r="N61" s="2041"/>
      <c r="O61" s="2041"/>
      <c r="P61" s="2041"/>
    </row>
    <row r="62" spans="1:16" ht="16.95" customHeight="1">
      <c r="A62" s="1989" t="s">
        <v>442</v>
      </c>
      <c r="B62" s="1990"/>
      <c r="C62" s="1990"/>
      <c r="D62" s="1990"/>
      <c r="E62" s="1990"/>
      <c r="F62" s="812" t="s">
        <v>162</v>
      </c>
      <c r="G62" s="175">
        <v>6.59</v>
      </c>
      <c r="H62" s="810">
        <f>G62+G62*'Løntabel gældende fra'!$D$7%</f>
        <v>8.3904143599999994</v>
      </c>
      <c r="I62" s="2040"/>
      <c r="J62" s="2041"/>
      <c r="K62" s="2041"/>
      <c r="L62" s="2041"/>
      <c r="M62" s="2041"/>
      <c r="N62" s="2041"/>
      <c r="O62" s="2041"/>
      <c r="P62" s="2041"/>
    </row>
    <row r="63" spans="1:16" ht="16.95" customHeight="1" thickBot="1">
      <c r="A63" s="1991" t="s">
        <v>374</v>
      </c>
      <c r="B63" s="1992"/>
      <c r="C63" s="1992"/>
      <c r="D63" s="1992"/>
      <c r="E63" s="1992"/>
      <c r="F63" s="813" t="s">
        <v>163</v>
      </c>
      <c r="G63" s="159">
        <v>61.22</v>
      </c>
      <c r="H63" s="811">
        <f>G63+G63*'Løntabel gældende fra'!$D$7%</f>
        <v>77.94554887999999</v>
      </c>
      <c r="I63" s="2040"/>
      <c r="J63" s="2041"/>
      <c r="K63" s="2041"/>
      <c r="L63" s="2041"/>
      <c r="M63" s="2041"/>
      <c r="N63" s="2041"/>
      <c r="O63" s="2041"/>
      <c r="P63" s="2041"/>
    </row>
    <row r="64" spans="1:16" ht="16.95" customHeight="1" thickBot="1">
      <c r="A64" s="13"/>
      <c r="B64" s="13"/>
      <c r="C64" s="13"/>
      <c r="D64" s="13"/>
      <c r="E64" s="13"/>
      <c r="F64" s="13"/>
      <c r="G64" s="13"/>
      <c r="H64" s="13"/>
      <c r="I64" s="2040"/>
      <c r="J64" s="2041"/>
      <c r="K64" s="2041"/>
      <c r="L64" s="2041"/>
      <c r="M64" s="2041"/>
      <c r="N64" s="2041"/>
      <c r="O64" s="2041"/>
      <c r="P64" s="2041"/>
    </row>
    <row r="65" spans="1:16" ht="16.95" customHeight="1">
      <c r="A65" s="1271" t="s">
        <v>185</v>
      </c>
      <c r="B65" s="1272"/>
      <c r="C65" s="1272"/>
      <c r="D65" s="1272"/>
      <c r="E65" s="1272"/>
      <c r="F65" s="1272"/>
      <c r="G65" s="1272"/>
      <c r="H65" s="1273"/>
      <c r="I65" s="2040"/>
      <c r="J65" s="2041"/>
      <c r="K65" s="2041"/>
      <c r="L65" s="2041"/>
      <c r="M65" s="2041"/>
      <c r="N65" s="2041"/>
      <c r="O65" s="2041"/>
      <c r="P65" s="2041"/>
    </row>
    <row r="66" spans="1:16" ht="31.8" customHeight="1" thickBot="1">
      <c r="A66" s="2054" t="s">
        <v>294</v>
      </c>
      <c r="B66" s="2055"/>
      <c r="C66" s="2055"/>
      <c r="D66" s="2055"/>
      <c r="E66" s="2055"/>
      <c r="F66" s="2055"/>
      <c r="G66" s="2055"/>
      <c r="H66" s="2056"/>
      <c r="I66" s="2040"/>
      <c r="J66" s="2041"/>
      <c r="K66" s="2041"/>
      <c r="L66" s="2041"/>
      <c r="M66" s="2041"/>
      <c r="N66" s="2041"/>
      <c r="O66" s="2041"/>
      <c r="P66" s="2041"/>
    </row>
    <row r="67" spans="1:16" ht="16.95" customHeight="1">
      <c r="A67" s="1986" t="s">
        <v>27</v>
      </c>
      <c r="B67" s="1987"/>
      <c r="C67" s="1987"/>
      <c r="D67" s="1988"/>
      <c r="E67" s="1986" t="s">
        <v>28</v>
      </c>
      <c r="F67" s="1987"/>
      <c r="G67" s="1987"/>
      <c r="H67" s="1988"/>
      <c r="I67" s="2040"/>
      <c r="J67" s="2041"/>
      <c r="K67" s="2041"/>
      <c r="L67" s="2041"/>
      <c r="M67" s="2041"/>
      <c r="N67" s="2041"/>
      <c r="O67" s="2041"/>
      <c r="P67" s="2041"/>
    </row>
    <row r="68" spans="1:16" ht="16.95" customHeight="1">
      <c r="A68" s="2116">
        <v>40999</v>
      </c>
      <c r="B68" s="2117"/>
      <c r="C68" s="2117"/>
      <c r="D68" s="2118"/>
      <c r="E68" s="2126">
        <v>0</v>
      </c>
      <c r="F68" s="2127"/>
      <c r="G68" s="2127"/>
      <c r="H68" s="2128"/>
      <c r="I68" s="2040"/>
      <c r="J68" s="2041"/>
      <c r="K68" s="2041"/>
      <c r="L68" s="2041"/>
      <c r="M68" s="2041"/>
      <c r="N68" s="2041"/>
      <c r="O68" s="2041"/>
      <c r="P68" s="2041"/>
    </row>
    <row r="69" spans="1:16" ht="16.95" customHeight="1">
      <c r="A69" s="2116">
        <v>41000</v>
      </c>
      <c r="B69" s="2117"/>
      <c r="C69" s="2117"/>
      <c r="D69" s="2118"/>
      <c r="E69" s="2126">
        <v>1.304</v>
      </c>
      <c r="F69" s="2127"/>
      <c r="G69" s="2127"/>
      <c r="H69" s="2128"/>
      <c r="I69" s="677"/>
      <c r="J69" s="677"/>
    </row>
    <row r="70" spans="1:16" ht="16.95" customHeight="1">
      <c r="A70" s="2116">
        <v>41365</v>
      </c>
      <c r="B70" s="2117"/>
      <c r="C70" s="2117"/>
      <c r="D70" s="2118"/>
      <c r="E70" s="2126">
        <v>1.304</v>
      </c>
      <c r="F70" s="2127"/>
      <c r="G70" s="2127"/>
      <c r="H70" s="2128"/>
      <c r="I70" s="17"/>
      <c r="J70" s="17"/>
    </row>
    <row r="71" spans="1:16" ht="16.95" customHeight="1">
      <c r="A71" s="2116">
        <v>41730</v>
      </c>
      <c r="B71" s="2117"/>
      <c r="C71" s="2117"/>
      <c r="D71" s="2118"/>
      <c r="E71" s="2126">
        <v>1.7161999999999999</v>
      </c>
      <c r="F71" s="2127"/>
      <c r="G71" s="2127"/>
      <c r="H71" s="2128"/>
      <c r="I71" s="682"/>
      <c r="J71" s="682"/>
    </row>
    <row r="72" spans="1:16" ht="16.95" customHeight="1">
      <c r="A72" s="2148">
        <v>42095</v>
      </c>
      <c r="B72" s="2149"/>
      <c r="C72" s="2149"/>
      <c r="D72" s="2150"/>
      <c r="E72" s="2126">
        <v>2.1745000000000001</v>
      </c>
      <c r="F72" s="2127"/>
      <c r="G72" s="2127"/>
      <c r="H72" s="2128"/>
      <c r="I72" s="683"/>
      <c r="J72" s="683"/>
    </row>
    <row r="73" spans="1:16" ht="16.95" customHeight="1">
      <c r="A73" s="2116">
        <v>42461</v>
      </c>
      <c r="B73" s="2117"/>
      <c r="C73" s="2117"/>
      <c r="D73" s="2118"/>
      <c r="E73" s="2126">
        <v>2.9882</v>
      </c>
      <c r="F73" s="2127"/>
      <c r="G73" s="2127"/>
      <c r="H73" s="2128"/>
      <c r="I73" s="683"/>
      <c r="J73" s="683"/>
    </row>
    <row r="74" spans="1:16" ht="16.95" customHeight="1">
      <c r="A74" s="2140">
        <v>42826</v>
      </c>
      <c r="B74" s="2141"/>
      <c r="C74" s="2141"/>
      <c r="D74" s="2142"/>
      <c r="E74" s="2126">
        <v>4.2446000000000002</v>
      </c>
      <c r="F74" s="2127"/>
      <c r="G74" s="2127"/>
      <c r="H74" s="2128"/>
      <c r="I74" s="683"/>
      <c r="J74" s="683"/>
    </row>
    <row r="75" spans="1:16" ht="16.95" customHeight="1">
      <c r="A75" s="2116">
        <v>43070</v>
      </c>
      <c r="B75" s="2117"/>
      <c r="C75" s="2117"/>
      <c r="D75" s="2118"/>
      <c r="E75" s="2126">
        <v>5.7702999999999998</v>
      </c>
      <c r="F75" s="2127"/>
      <c r="G75" s="2127"/>
      <c r="H75" s="2128"/>
      <c r="I75" s="683"/>
      <c r="J75" s="683"/>
    </row>
    <row r="76" spans="1:16" ht="16.95" customHeight="1">
      <c r="A76" s="2116">
        <v>43191</v>
      </c>
      <c r="B76" s="2117"/>
      <c r="C76" s="2117"/>
      <c r="D76" s="2118"/>
      <c r="E76" s="2126">
        <v>6.9683000000000002</v>
      </c>
      <c r="F76" s="2127"/>
      <c r="G76" s="2127"/>
      <c r="H76" s="2128"/>
      <c r="I76" s="683"/>
      <c r="J76" s="683"/>
    </row>
    <row r="77" spans="1:16" ht="16.95" customHeight="1">
      <c r="A77" s="2116">
        <v>43374</v>
      </c>
      <c r="B77" s="2117"/>
      <c r="C77" s="2117"/>
      <c r="D77" s="2118"/>
      <c r="E77" s="2126">
        <v>7.4972000000000003</v>
      </c>
      <c r="F77" s="2127"/>
      <c r="G77" s="2127"/>
      <c r="H77" s="2128"/>
      <c r="I77" s="684"/>
      <c r="J77" s="684"/>
    </row>
    <row r="78" spans="1:16" ht="16.95" customHeight="1">
      <c r="A78" s="2116">
        <v>43556</v>
      </c>
      <c r="B78" s="2117"/>
      <c r="C78" s="2117"/>
      <c r="D78" s="2118"/>
      <c r="E78" s="2126">
        <v>8.4910999999999994</v>
      </c>
      <c r="F78" s="2127"/>
      <c r="G78" s="2127"/>
      <c r="H78" s="2128"/>
      <c r="I78" s="682"/>
      <c r="J78" s="682"/>
    </row>
    <row r="79" spans="1:16" ht="16.95" customHeight="1">
      <c r="A79" s="2129">
        <v>43739</v>
      </c>
      <c r="B79" s="2130"/>
      <c r="C79" s="2130"/>
      <c r="D79" s="2131"/>
      <c r="E79" s="2132">
        <v>9.4007000000000005</v>
      </c>
      <c r="F79" s="2133"/>
      <c r="G79" s="2133"/>
      <c r="H79" s="2134"/>
      <c r="I79" s="682"/>
      <c r="J79" s="682"/>
    </row>
    <row r="80" spans="1:16" ht="16.95" customHeight="1">
      <c r="A80" s="2116">
        <v>43922</v>
      </c>
      <c r="B80" s="2117"/>
      <c r="C80" s="2117"/>
      <c r="D80" s="2118"/>
      <c r="E80" s="2126">
        <v>10.323600000000001</v>
      </c>
      <c r="F80" s="2127"/>
      <c r="G80" s="2127"/>
      <c r="H80" s="2128"/>
      <c r="I80" s="682"/>
      <c r="J80" s="682"/>
    </row>
    <row r="81" spans="1:10" ht="16.95" customHeight="1">
      <c r="A81" s="2135">
        <v>44228</v>
      </c>
      <c r="B81" s="2135"/>
      <c r="C81" s="2135"/>
      <c r="D81" s="2135"/>
      <c r="E81" s="2143">
        <v>10.2211</v>
      </c>
      <c r="F81" s="2144"/>
      <c r="G81" s="2144"/>
      <c r="H81" s="2144"/>
      <c r="I81" s="682"/>
      <c r="J81" s="682"/>
    </row>
    <row r="82" spans="1:10" ht="16.95" customHeight="1">
      <c r="A82" s="2135">
        <v>44287</v>
      </c>
      <c r="B82" s="2135"/>
      <c r="C82" s="2135"/>
      <c r="D82" s="2135"/>
      <c r="E82" s="2143">
        <v>11.1029</v>
      </c>
      <c r="F82" s="2144"/>
      <c r="G82" s="2144"/>
      <c r="H82" s="2144"/>
      <c r="I82" s="682"/>
      <c r="J82" s="682"/>
    </row>
    <row r="83" spans="1:10" ht="16.95" customHeight="1">
      <c r="A83" s="2135">
        <v>44470</v>
      </c>
      <c r="B83" s="2135"/>
      <c r="C83" s="2135"/>
      <c r="D83" s="2135"/>
      <c r="E83" s="2136">
        <v>11.4336</v>
      </c>
      <c r="F83" s="2137"/>
      <c r="G83" s="2137"/>
      <c r="H83" s="2138"/>
      <c r="I83" s="682"/>
      <c r="J83" s="682"/>
    </row>
    <row r="84" spans="1:10" ht="16.95" customHeight="1">
      <c r="A84" s="2135">
        <v>44652</v>
      </c>
      <c r="B84" s="2135"/>
      <c r="C84" s="2135"/>
      <c r="D84" s="2135"/>
      <c r="E84" s="2136">
        <v>13.410399999999999</v>
      </c>
      <c r="F84" s="2137"/>
      <c r="G84" s="2137"/>
      <c r="H84" s="2138"/>
      <c r="I84" s="682"/>
      <c r="J84" s="682"/>
    </row>
    <row r="85" spans="1:10" ht="16.95" customHeight="1">
      <c r="A85" s="2135">
        <v>44835</v>
      </c>
      <c r="B85" s="2135"/>
      <c r="C85" s="2135"/>
      <c r="D85" s="2135"/>
      <c r="E85" s="2136">
        <v>13.741099999999999</v>
      </c>
      <c r="F85" s="2137"/>
      <c r="G85" s="2137"/>
      <c r="H85" s="2138"/>
      <c r="I85" s="682"/>
      <c r="J85" s="682"/>
    </row>
    <row r="86" spans="1:10" ht="16.95" customHeight="1">
      <c r="A86" s="2116">
        <v>45017</v>
      </c>
      <c r="B86" s="2117"/>
      <c r="C86" s="2117"/>
      <c r="D86" s="2118"/>
      <c r="E86" s="2136">
        <v>15.533899999999999</v>
      </c>
      <c r="F86" s="2137"/>
      <c r="G86" s="2137"/>
      <c r="H86" s="2138"/>
      <c r="I86" s="682"/>
      <c r="J86" s="682"/>
    </row>
    <row r="87" spans="1:10" ht="16.95" customHeight="1">
      <c r="A87" s="2135">
        <v>45200</v>
      </c>
      <c r="B87" s="2135"/>
      <c r="C87" s="2135"/>
      <c r="D87" s="2135"/>
      <c r="E87" s="2136">
        <v>15.919700000000001</v>
      </c>
      <c r="F87" s="2137"/>
      <c r="G87" s="2137"/>
      <c r="H87" s="2138"/>
      <c r="I87" s="682"/>
      <c r="J87" s="682"/>
    </row>
    <row r="88" spans="1:10" ht="16.95" customHeight="1">
      <c r="A88" s="2135">
        <v>45383</v>
      </c>
      <c r="B88" s="2135"/>
      <c r="C88" s="2135"/>
      <c r="D88" s="2135"/>
      <c r="E88" s="2136">
        <v>22.806699999999999</v>
      </c>
      <c r="F88" s="2137"/>
      <c r="G88" s="2137"/>
      <c r="H88" s="2138"/>
      <c r="I88" s="682"/>
      <c r="J88" s="682"/>
    </row>
    <row r="89" spans="1:10" ht="16.95" customHeight="1">
      <c r="A89" s="2135">
        <v>45748</v>
      </c>
      <c r="B89" s="2135"/>
      <c r="C89" s="2135"/>
      <c r="D89" s="2135"/>
      <c r="E89" s="2136">
        <v>23.3095</v>
      </c>
      <c r="F89" s="2137"/>
      <c r="G89" s="2137"/>
      <c r="H89" s="2138"/>
      <c r="I89" s="682"/>
      <c r="J89" s="682"/>
    </row>
    <row r="90" spans="1:10" ht="16.95" customHeight="1">
      <c r="A90" s="2135">
        <v>45962</v>
      </c>
      <c r="B90" s="2135"/>
      <c r="C90" s="2135"/>
      <c r="D90" s="2135"/>
      <c r="E90" s="2143">
        <v>24.912600000000001</v>
      </c>
      <c r="F90" s="2143"/>
      <c r="G90" s="2143"/>
      <c r="H90" s="2143"/>
      <c r="I90" s="682"/>
      <c r="J90" s="682"/>
    </row>
    <row r="91" spans="1:10" ht="16.95" customHeight="1">
      <c r="A91" s="2135">
        <v>46113</v>
      </c>
      <c r="B91" s="2135"/>
      <c r="C91" s="2135"/>
      <c r="D91" s="2135"/>
      <c r="E91" s="2143">
        <v>26.508500000000002</v>
      </c>
      <c r="F91" s="2143"/>
      <c r="G91" s="2143"/>
      <c r="H91" s="2143"/>
      <c r="I91" s="682"/>
      <c r="J91" s="682"/>
    </row>
    <row r="92" spans="1:10" ht="16.95" customHeight="1" thickBot="1">
      <c r="A92" s="2151">
        <v>46235</v>
      </c>
      <c r="B92" s="2151"/>
      <c r="C92" s="2151"/>
      <c r="D92" s="2151"/>
      <c r="E92" s="2139">
        <v>27.320399999999999</v>
      </c>
      <c r="F92" s="2139"/>
      <c r="G92" s="2139"/>
      <c r="H92" s="2139"/>
      <c r="I92" s="683"/>
      <c r="J92" s="683"/>
    </row>
    <row r="93" spans="1:10" ht="25.5" customHeight="1" thickBot="1">
      <c r="A93" s="676"/>
      <c r="B93" s="676"/>
      <c r="C93" s="676"/>
      <c r="D93" s="676"/>
      <c r="E93" s="676"/>
      <c r="F93" s="676"/>
      <c r="G93" s="676"/>
      <c r="H93" s="676"/>
      <c r="I93" s="683"/>
      <c r="J93" s="683"/>
    </row>
    <row r="94" spans="1:10" ht="18" thickBot="1">
      <c r="A94" s="2145" t="s">
        <v>71</v>
      </c>
      <c r="B94" s="2146"/>
      <c r="C94" s="2146"/>
      <c r="D94" s="2146"/>
      <c r="E94" s="2146"/>
      <c r="F94" s="2146"/>
      <c r="G94" s="2146"/>
      <c r="H94" s="2147"/>
      <c r="I94" s="13"/>
      <c r="J94" s="13"/>
    </row>
    <row r="95" spans="1:10" ht="15" thickBot="1">
      <c r="A95" s="2093" t="s">
        <v>72</v>
      </c>
      <c r="B95" s="2094"/>
      <c r="C95" s="2094"/>
      <c r="D95" s="2094"/>
      <c r="E95" s="2094"/>
      <c r="F95" s="2094"/>
      <c r="G95" s="2094"/>
      <c r="H95" s="2095"/>
      <c r="I95" s="682"/>
      <c r="J95" s="682"/>
    </row>
    <row r="96" spans="1:10">
      <c r="A96" s="2099" t="s">
        <v>216</v>
      </c>
      <c r="B96" s="2100"/>
      <c r="C96" s="2100"/>
      <c r="D96" s="2100"/>
      <c r="E96" s="2100"/>
      <c r="F96" s="2100"/>
      <c r="G96" s="2100"/>
      <c r="H96" s="2101"/>
    </row>
    <row r="97" spans="1:10">
      <c r="A97" s="2102"/>
      <c r="B97" s="2103"/>
      <c r="C97" s="2103"/>
      <c r="D97" s="2103"/>
      <c r="E97" s="2103"/>
      <c r="F97" s="2103"/>
      <c r="G97" s="2103"/>
      <c r="H97" s="2104"/>
      <c r="I97" s="13"/>
      <c r="J97" s="13"/>
    </row>
    <row r="98" spans="1:10">
      <c r="A98" s="2102"/>
      <c r="B98" s="2103"/>
      <c r="C98" s="2103"/>
      <c r="D98" s="2103"/>
      <c r="E98" s="2103"/>
      <c r="F98" s="2103"/>
      <c r="G98" s="2103"/>
      <c r="H98" s="2104"/>
      <c r="I98" s="682"/>
      <c r="J98" s="682"/>
    </row>
    <row r="99" spans="1:10" ht="31.5" customHeight="1">
      <c r="A99" s="2102"/>
      <c r="B99" s="2103"/>
      <c r="C99" s="2103"/>
      <c r="D99" s="2103"/>
      <c r="E99" s="2103"/>
      <c r="F99" s="2103"/>
      <c r="G99" s="2103"/>
      <c r="H99" s="2104"/>
    </row>
    <row r="100" spans="1:10" ht="6" customHeight="1" thickBot="1">
      <c r="A100" s="2105"/>
      <c r="B100" s="2106"/>
      <c r="C100" s="2106"/>
      <c r="D100" s="2106"/>
      <c r="E100" s="2106"/>
      <c r="F100" s="2106"/>
      <c r="G100" s="2106"/>
      <c r="H100" s="2107"/>
    </row>
    <row r="101" spans="1:10" ht="15" thickBot="1">
      <c r="A101" s="678"/>
      <c r="B101" s="678"/>
      <c r="C101" s="678"/>
      <c r="D101" s="678"/>
      <c r="E101" s="678"/>
      <c r="F101" s="678"/>
      <c r="G101" s="678"/>
      <c r="H101" s="678"/>
      <c r="I101" s="682"/>
      <c r="J101" s="682"/>
    </row>
    <row r="102" spans="1:10" ht="19.95" customHeight="1" thickBot="1">
      <c r="A102" s="2093" t="s">
        <v>73</v>
      </c>
      <c r="B102" s="2094"/>
      <c r="C102" s="2094"/>
      <c r="D102" s="2094"/>
      <c r="E102" s="2094"/>
      <c r="F102" s="2094"/>
      <c r="G102" s="2094"/>
      <c r="H102" s="2095"/>
      <c r="I102" s="683"/>
      <c r="J102" s="683"/>
    </row>
    <row r="103" spans="1:10">
      <c r="A103" s="2099" t="s">
        <v>134</v>
      </c>
      <c r="B103" s="2100"/>
      <c r="C103" s="2100"/>
      <c r="D103" s="2100"/>
      <c r="E103" s="2100"/>
      <c r="F103" s="2100"/>
      <c r="G103" s="2100"/>
      <c r="H103" s="2101"/>
      <c r="I103" s="683"/>
      <c r="J103" s="683"/>
    </row>
    <row r="104" spans="1:10" ht="22.05" customHeight="1" thickBot="1">
      <c r="A104" s="2105"/>
      <c r="B104" s="2106"/>
      <c r="C104" s="2106"/>
      <c r="D104" s="2106"/>
      <c r="E104" s="2106"/>
      <c r="F104" s="2106"/>
      <c r="G104" s="2106"/>
      <c r="H104" s="2107"/>
      <c r="I104" s="683"/>
      <c r="J104" s="683"/>
    </row>
    <row r="105" spans="1:10" ht="15" thickBot="1">
      <c r="A105" s="679"/>
      <c r="B105" s="679"/>
      <c r="C105" s="679"/>
      <c r="D105" s="679"/>
      <c r="E105" s="679"/>
      <c r="F105" s="679"/>
      <c r="G105" s="679"/>
      <c r="H105" s="679"/>
    </row>
    <row r="106" spans="1:10" ht="15" thickBot="1">
      <c r="A106" s="2093" t="s">
        <v>74</v>
      </c>
      <c r="B106" s="2094"/>
      <c r="C106" s="2094"/>
      <c r="D106" s="2094"/>
      <c r="E106" s="2094"/>
      <c r="F106" s="2094"/>
      <c r="G106" s="2094"/>
      <c r="H106" s="2095"/>
    </row>
    <row r="107" spans="1:10" ht="15" thickBot="1">
      <c r="A107" s="262" t="s">
        <v>77</v>
      </c>
      <c r="B107" s="261"/>
      <c r="C107" s="261"/>
      <c r="D107" s="261"/>
      <c r="E107" s="261"/>
      <c r="F107" s="261"/>
      <c r="G107" s="261"/>
      <c r="H107" s="263"/>
    </row>
    <row r="108" spans="1:10" ht="15" thickBot="1">
      <c r="A108" s="679"/>
      <c r="B108" s="679"/>
      <c r="C108" s="679"/>
      <c r="D108" s="679"/>
      <c r="E108" s="679"/>
      <c r="F108" s="679"/>
      <c r="G108" s="679"/>
      <c r="H108" s="679"/>
    </row>
    <row r="109" spans="1:10" ht="15" thickBot="1">
      <c r="A109" s="2093" t="s">
        <v>75</v>
      </c>
      <c r="B109" s="2094"/>
      <c r="C109" s="2094"/>
      <c r="D109" s="2094"/>
      <c r="E109" s="2094"/>
      <c r="F109" s="2094"/>
      <c r="G109" s="2094"/>
      <c r="H109" s="2095"/>
    </row>
    <row r="110" spans="1:10" ht="15" thickBot="1">
      <c r="A110" s="2096" t="s">
        <v>78</v>
      </c>
      <c r="B110" s="2097"/>
      <c r="C110" s="2097"/>
      <c r="D110" s="2097"/>
      <c r="E110" s="2097"/>
      <c r="F110" s="2097"/>
      <c r="G110" s="2097"/>
      <c r="H110" s="2098"/>
    </row>
    <row r="111" spans="1:10" ht="15" thickBot="1"/>
    <row r="112" spans="1:10" ht="15" thickBot="1">
      <c r="A112" s="2093" t="s">
        <v>76</v>
      </c>
      <c r="B112" s="2094"/>
      <c r="C112" s="2094"/>
      <c r="D112" s="2094"/>
      <c r="E112" s="2094"/>
      <c r="F112" s="2094"/>
      <c r="G112" s="2094"/>
      <c r="H112" s="2095"/>
    </row>
    <row r="113" spans="1:8">
      <c r="A113" s="2099" t="s">
        <v>313</v>
      </c>
      <c r="B113" s="2100"/>
      <c r="C113" s="2100"/>
      <c r="D113" s="2100"/>
      <c r="E113" s="2100"/>
      <c r="F113" s="2100"/>
      <c r="G113" s="2100"/>
      <c r="H113" s="2101"/>
    </row>
    <row r="114" spans="1:8">
      <c r="A114" s="2102"/>
      <c r="B114" s="2103"/>
      <c r="C114" s="2103"/>
      <c r="D114" s="2103"/>
      <c r="E114" s="2103"/>
      <c r="F114" s="2103"/>
      <c r="G114" s="2103"/>
      <c r="H114" s="2104"/>
    </row>
    <row r="115" spans="1:8" ht="15" thickBot="1">
      <c r="A115" s="2105"/>
      <c r="B115" s="2106"/>
      <c r="C115" s="2106"/>
      <c r="D115" s="2106"/>
      <c r="E115" s="2106"/>
      <c r="F115" s="2106"/>
      <c r="G115" s="2106"/>
      <c r="H115" s="2107"/>
    </row>
  </sheetData>
  <mergeCells count="146">
    <mergeCell ref="A106:H106"/>
    <mergeCell ref="A96:H100"/>
    <mergeCell ref="A94:H94"/>
    <mergeCell ref="A95:H95"/>
    <mergeCell ref="A102:H102"/>
    <mergeCell ref="A103:H104"/>
    <mergeCell ref="A76:D76"/>
    <mergeCell ref="E76:H76"/>
    <mergeCell ref="A70:D70"/>
    <mergeCell ref="A71:D71"/>
    <mergeCell ref="A72:D72"/>
    <mergeCell ref="A92:D92"/>
    <mergeCell ref="A77:D77"/>
    <mergeCell ref="E77:H77"/>
    <mergeCell ref="A78:D78"/>
    <mergeCell ref="E78:H78"/>
    <mergeCell ref="A80:D80"/>
    <mergeCell ref="E80:H80"/>
    <mergeCell ref="A83:D83"/>
    <mergeCell ref="E83:H83"/>
    <mergeCell ref="A91:D91"/>
    <mergeCell ref="E91:H91"/>
    <mergeCell ref="A84:D84"/>
    <mergeCell ref="E84:H84"/>
    <mergeCell ref="A85:D85"/>
    <mergeCell ref="E85:H85"/>
    <mergeCell ref="E92:H92"/>
    <mergeCell ref="A73:D73"/>
    <mergeCell ref="E73:H73"/>
    <mergeCell ref="A74:D74"/>
    <mergeCell ref="E74:H74"/>
    <mergeCell ref="A81:D81"/>
    <mergeCell ref="E81:H81"/>
    <mergeCell ref="A82:D82"/>
    <mergeCell ref="E82:H82"/>
    <mergeCell ref="A86:D86"/>
    <mergeCell ref="E86:H86"/>
    <mergeCell ref="A87:D87"/>
    <mergeCell ref="E87:H87"/>
    <mergeCell ref="A88:D88"/>
    <mergeCell ref="E88:H88"/>
    <mergeCell ref="A89:D89"/>
    <mergeCell ref="E89:H89"/>
    <mergeCell ref="A90:D90"/>
    <mergeCell ref="E90:H90"/>
    <mergeCell ref="E68:H68"/>
    <mergeCell ref="E69:H69"/>
    <mergeCell ref="E70:H70"/>
    <mergeCell ref="E71:H71"/>
    <mergeCell ref="E72:H72"/>
    <mergeCell ref="A75:D75"/>
    <mergeCell ref="E75:H75"/>
    <mergeCell ref="A79:D79"/>
    <mergeCell ref="E79:H79"/>
    <mergeCell ref="A109:H109"/>
    <mergeCell ref="A112:H112"/>
    <mergeCell ref="A110:H110"/>
    <mergeCell ref="A113:H115"/>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 ref="E67:H67"/>
    <mergeCell ref="A62:E62"/>
    <mergeCell ref="A63:E63"/>
    <mergeCell ref="A53:H53"/>
    <mergeCell ref="A54:H54"/>
    <mergeCell ref="A58:E59"/>
    <mergeCell ref="F58:F59"/>
    <mergeCell ref="G58:G59"/>
    <mergeCell ref="H58:H59"/>
    <mergeCell ref="A60:E60"/>
    <mergeCell ref="A61:E61"/>
    <mergeCell ref="A57:E57"/>
  </mergeCells>
  <phoneticPr fontId="7" type="noConversion"/>
  <pageMargins left="0.70866141732283472" right="0.70866141732283472" top="0.74803149606299213" bottom="0.74803149606299213" header="0.31496062992125984" footer="0.31496062992125984"/>
  <pageSetup paperSize="9" scale="96"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16" workbookViewId="0">
      <selection activeCell="D136" sqref="D136"/>
    </sheetView>
  </sheetViews>
  <sheetFormatPr defaultColWidth="8.77734375" defaultRowHeight="14.4"/>
  <cols>
    <col min="1" max="1" width="8.77734375" style="13"/>
    <col min="2" max="2" width="8.77734375" style="114" customWidth="1"/>
    <col min="3" max="3" width="12.33203125" style="13" hidden="1" customWidth="1"/>
    <col min="4" max="4" width="12.33203125" style="12" bestFit="1" customWidth="1"/>
    <col min="5" max="5" width="12.77734375" style="12" hidden="1" customWidth="1"/>
    <col min="6" max="6" width="12.33203125" style="12" bestFit="1" customWidth="1"/>
    <col min="7" max="7" width="12.77734375" style="12" hidden="1" customWidth="1"/>
    <col min="8" max="8" width="12.33203125" style="12" bestFit="1" customWidth="1"/>
    <col min="9" max="9" width="12.7773437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77734375" style="66" customWidth="1"/>
  </cols>
  <sheetData>
    <row r="1" spans="1:15" ht="40.049999999999997" customHeight="1" thickBot="1">
      <c r="A1" s="2157" t="str">
        <f>"Månedslønninger pr. "&amp;'Løntabel gældende fra'!D1&amp;" statens takster"</f>
        <v>Månedslønninger pr. 01-08-2026 statens takster</v>
      </c>
      <c r="B1" s="2158"/>
      <c r="C1" s="2158"/>
      <c r="D1" s="2158"/>
      <c r="E1" s="2158"/>
      <c r="F1" s="2158"/>
      <c r="G1" s="2158"/>
      <c r="H1" s="2158"/>
      <c r="I1" s="2158"/>
      <c r="J1" s="2158"/>
      <c r="K1" s="2158"/>
      <c r="L1" s="2158"/>
      <c r="M1" s="2158"/>
      <c r="N1" s="2158"/>
      <c r="O1" s="2159"/>
    </row>
    <row r="2" spans="1:15" ht="18" customHeight="1">
      <c r="A2" s="1336" t="s">
        <v>310</v>
      </c>
      <c r="B2" s="1337"/>
      <c r="C2" s="1337"/>
      <c r="D2" s="1337"/>
      <c r="E2" s="1337"/>
      <c r="F2" s="1337"/>
      <c r="G2" s="1337"/>
      <c r="H2" s="1337"/>
      <c r="I2" s="1337"/>
      <c r="J2" s="1337"/>
      <c r="K2" s="1337"/>
      <c r="L2" s="1337"/>
      <c r="M2" s="1337"/>
      <c r="N2" s="1337"/>
      <c r="O2" s="1338"/>
    </row>
    <row r="3" spans="1:15" ht="18" customHeight="1">
      <c r="A3" s="2160" t="s">
        <v>311</v>
      </c>
      <c r="B3" s="2161"/>
      <c r="C3" s="2161"/>
      <c r="D3" s="2161"/>
      <c r="E3" s="2161"/>
      <c r="F3" s="2161"/>
      <c r="G3" s="2161"/>
      <c r="H3" s="2161"/>
      <c r="I3" s="2161"/>
      <c r="J3" s="2161"/>
      <c r="K3" s="2161"/>
      <c r="L3" s="2161"/>
      <c r="M3" s="2161"/>
      <c r="N3" s="2161"/>
      <c r="O3" s="2162"/>
    </row>
    <row r="4" spans="1:15" ht="33.75" customHeight="1" thickBot="1">
      <c r="A4" s="2163"/>
      <c r="B4" s="2164"/>
      <c r="C4" s="2164"/>
      <c r="D4" s="2164"/>
      <c r="E4" s="2164"/>
      <c r="F4" s="2164"/>
      <c r="G4" s="2164"/>
      <c r="H4" s="2164"/>
      <c r="I4" s="2164"/>
      <c r="J4" s="2164"/>
      <c r="K4" s="2164"/>
      <c r="L4" s="2164"/>
      <c r="M4" s="2164"/>
      <c r="N4" s="2164"/>
      <c r="O4" s="2165"/>
    </row>
    <row r="5" spans="1:15" s="31" customFormat="1" ht="25.95" customHeight="1" thickBot="1">
      <c r="A5" s="331" t="s">
        <v>57</v>
      </c>
      <c r="B5" s="352"/>
      <c r="C5" s="354" t="s">
        <v>105</v>
      </c>
      <c r="D5" s="331" t="s">
        <v>52</v>
      </c>
      <c r="E5" s="352" t="s">
        <v>106</v>
      </c>
      <c r="F5" s="353" t="s">
        <v>53</v>
      </c>
      <c r="G5" s="354" t="s">
        <v>107</v>
      </c>
      <c r="H5" s="331" t="s">
        <v>54</v>
      </c>
      <c r="I5" s="352" t="s">
        <v>108</v>
      </c>
      <c r="J5" s="353" t="s">
        <v>55</v>
      </c>
      <c r="K5" s="354" t="s">
        <v>109</v>
      </c>
      <c r="L5" s="331" t="s">
        <v>56</v>
      </c>
      <c r="M5" s="355"/>
      <c r="N5" s="356" t="s">
        <v>110</v>
      </c>
      <c r="O5" s="357" t="s">
        <v>111</v>
      </c>
    </row>
    <row r="6" spans="1:15" ht="19.95" customHeight="1">
      <c r="A6" s="2155">
        <v>1</v>
      </c>
      <c r="B6" s="342" t="s">
        <v>93</v>
      </c>
      <c r="C6" s="185">
        <v>184817</v>
      </c>
      <c r="D6" s="178">
        <f>ROUND((C6*(1+'Løntabel gældende fra'!$D$7%)),0)</f>
        <v>235310</v>
      </c>
      <c r="E6" s="186">
        <v>188265</v>
      </c>
      <c r="F6" s="187">
        <f>ROUND((E6*(1+'Løntabel gældende fra'!$D$7%)),0)</f>
        <v>239700</v>
      </c>
      <c r="G6" s="185">
        <v>190650</v>
      </c>
      <c r="H6" s="178">
        <f>ROUND((G6*(1+'Løntabel gældende fra'!$D$7%)),0)</f>
        <v>242736</v>
      </c>
      <c r="I6" s="186">
        <v>194098</v>
      </c>
      <c r="J6" s="187">
        <f>ROUND((I6*(1+'Løntabel gældende fra'!$D$7%)),0)</f>
        <v>247126</v>
      </c>
      <c r="K6" s="185">
        <v>196484</v>
      </c>
      <c r="L6" s="178">
        <f>ROUND((K6*(1+'Løntabel gældende fra'!$D$7%)),0)</f>
        <v>250164</v>
      </c>
      <c r="M6" s="380"/>
      <c r="N6" s="360">
        <v>171917.38</v>
      </c>
      <c r="O6" s="192">
        <f>ROUND(N6*(1+'Løntabel gældende fra'!$D$7%),2)</f>
        <v>218885.9</v>
      </c>
    </row>
    <row r="7" spans="1:15">
      <c r="A7" s="2153"/>
      <c r="B7" s="364" t="s">
        <v>94</v>
      </c>
      <c r="C7" s="369">
        <f>C6/12</f>
        <v>15401.416666666666</v>
      </c>
      <c r="D7" s="376">
        <f t="shared" ref="D7:L7" si="0">ROUND(D6/12,2)</f>
        <v>19609.169999999998</v>
      </c>
      <c r="E7" s="373">
        <f>E6/12</f>
        <v>15688.75</v>
      </c>
      <c r="F7" s="358">
        <f t="shared" si="0"/>
        <v>19975</v>
      </c>
      <c r="G7" s="369">
        <f>G6/12</f>
        <v>15887.5</v>
      </c>
      <c r="H7" s="376">
        <f t="shared" si="0"/>
        <v>20228</v>
      </c>
      <c r="I7" s="373">
        <f>I6/12</f>
        <v>16174.833333333334</v>
      </c>
      <c r="J7" s="358">
        <f t="shared" si="0"/>
        <v>20593.830000000002</v>
      </c>
      <c r="K7" s="369">
        <f>K6/12</f>
        <v>16373.666666666666</v>
      </c>
      <c r="L7" s="376">
        <f t="shared" si="0"/>
        <v>20847</v>
      </c>
      <c r="M7" s="381"/>
      <c r="N7" s="359"/>
      <c r="O7" s="361">
        <f>ROUND(O6/12,2)</f>
        <v>18240.490000000002</v>
      </c>
    </row>
    <row r="8" spans="1:15" ht="15" thickBot="1">
      <c r="A8" s="2154"/>
      <c r="B8" s="344" t="s">
        <v>201</v>
      </c>
      <c r="C8" s="182"/>
      <c r="D8" s="183">
        <f>ROUND(D7/160.33,2)</f>
        <v>122.31</v>
      </c>
      <c r="E8" s="184"/>
      <c r="F8" s="183">
        <f t="shared" ref="F8:O8" si="1">ROUND(F7/160.33,2)</f>
        <v>124.59</v>
      </c>
      <c r="G8" s="183">
        <f t="shared" si="1"/>
        <v>99.09</v>
      </c>
      <c r="H8" s="183">
        <f t="shared" si="1"/>
        <v>126.16</v>
      </c>
      <c r="I8" s="183">
        <f t="shared" si="1"/>
        <v>100.88</v>
      </c>
      <c r="J8" s="183">
        <f t="shared" si="1"/>
        <v>128.44999999999999</v>
      </c>
      <c r="K8" s="183">
        <f t="shared" si="1"/>
        <v>102.12</v>
      </c>
      <c r="L8" s="183">
        <f t="shared" si="1"/>
        <v>130.03</v>
      </c>
      <c r="M8" s="183">
        <f t="shared" si="1"/>
        <v>0</v>
      </c>
      <c r="N8" s="183">
        <f t="shared" si="1"/>
        <v>0</v>
      </c>
      <c r="O8" s="183">
        <f t="shared" si="1"/>
        <v>113.77</v>
      </c>
    </row>
    <row r="9" spans="1:15">
      <c r="A9" s="2155">
        <v>2</v>
      </c>
      <c r="B9" s="342" t="s">
        <v>93</v>
      </c>
      <c r="C9" s="185">
        <v>187655</v>
      </c>
      <c r="D9" s="178">
        <f>ROUND((C9*(1+'Løntabel gældende fra'!$D$7%)),0)</f>
        <v>238923</v>
      </c>
      <c r="E9" s="186">
        <v>191187</v>
      </c>
      <c r="F9" s="187">
        <f>ROUND((E9*(1+'Løntabel gældende fra'!$D$7%)),0)</f>
        <v>243420</v>
      </c>
      <c r="G9" s="185">
        <v>193632</v>
      </c>
      <c r="H9" s="178">
        <f>ROUND((G9*(1+'Løntabel gældende fra'!$D$7%)),0)</f>
        <v>246533</v>
      </c>
      <c r="I9" s="186">
        <v>197161</v>
      </c>
      <c r="J9" s="187">
        <f>ROUND((I9*(1+'Løntabel gældende fra'!$D$7%)),0)</f>
        <v>251026</v>
      </c>
      <c r="K9" s="185">
        <v>199607</v>
      </c>
      <c r="L9" s="178">
        <f>ROUND((K9*(1+'Løntabel gældende fra'!$D$7%)),0)</f>
        <v>254140</v>
      </c>
      <c r="M9" s="382"/>
      <c r="N9" s="360">
        <v>174577.34</v>
      </c>
      <c r="O9" s="192">
        <f>ROUND(N9*(1+'Løntabel gældende fra'!$D$7%),2)</f>
        <v>222272.57</v>
      </c>
    </row>
    <row r="10" spans="1:15">
      <c r="A10" s="2153"/>
      <c r="B10" s="364" t="s">
        <v>94</v>
      </c>
      <c r="C10" s="369"/>
      <c r="D10" s="376">
        <f>ROUND(D9/12,2)</f>
        <v>19910.25</v>
      </c>
      <c r="E10" s="373"/>
      <c r="F10" s="358">
        <f>ROUND(F9/12,2)</f>
        <v>20285</v>
      </c>
      <c r="G10" s="369">
        <f>G9/12</f>
        <v>16136</v>
      </c>
      <c r="H10" s="376">
        <f>ROUND(H9/12,2)</f>
        <v>20544.419999999998</v>
      </c>
      <c r="I10" s="373">
        <f>I9/12</f>
        <v>16430.083333333332</v>
      </c>
      <c r="J10" s="358">
        <f>ROUND(J9/12,2)</f>
        <v>20918.830000000002</v>
      </c>
      <c r="K10" s="369">
        <f>K9/12</f>
        <v>16633.916666666668</v>
      </c>
      <c r="L10" s="376">
        <f>ROUND(L9/12,2)</f>
        <v>21178.33</v>
      </c>
      <c r="M10" s="381"/>
      <c r="N10" s="359"/>
      <c r="O10" s="361">
        <f>ROUND(O9/12,2)</f>
        <v>18522.71</v>
      </c>
    </row>
    <row r="11" spans="1:15" ht="15" thickBot="1">
      <c r="A11" s="2154"/>
      <c r="B11" s="344" t="s">
        <v>201</v>
      </c>
      <c r="C11" s="182">
        <f>C9/12</f>
        <v>15637.916666666666</v>
      </c>
      <c r="D11" s="183">
        <f>ROUND(D10/160.33,2)</f>
        <v>124.18</v>
      </c>
      <c r="E11" s="184">
        <f>E9/12</f>
        <v>15932.25</v>
      </c>
      <c r="F11" s="183">
        <f t="shared" ref="F11:O11" si="2">ROUND(F10/160.33,2)</f>
        <v>126.52</v>
      </c>
      <c r="G11" s="183">
        <f t="shared" si="2"/>
        <v>100.64</v>
      </c>
      <c r="H11" s="183">
        <f t="shared" si="2"/>
        <v>128.13999999999999</v>
      </c>
      <c r="I11" s="183">
        <f t="shared" si="2"/>
        <v>102.48</v>
      </c>
      <c r="J11" s="183">
        <f t="shared" si="2"/>
        <v>130.47</v>
      </c>
      <c r="K11" s="183">
        <f t="shared" si="2"/>
        <v>103.75</v>
      </c>
      <c r="L11" s="183">
        <f t="shared" si="2"/>
        <v>132.09</v>
      </c>
      <c r="M11" s="183">
        <f t="shared" si="2"/>
        <v>0</v>
      </c>
      <c r="N11" s="183">
        <f t="shared" si="2"/>
        <v>0</v>
      </c>
      <c r="O11" s="183">
        <f t="shared" si="2"/>
        <v>115.53</v>
      </c>
    </row>
    <row r="12" spans="1:15">
      <c r="A12" s="2155">
        <v>3</v>
      </c>
      <c r="B12" s="342" t="s">
        <v>93</v>
      </c>
      <c r="C12" s="185">
        <v>190571</v>
      </c>
      <c r="D12" s="178">
        <f>ROUND((C12*(1+'Løntabel gældende fra'!$D$7%)),0)</f>
        <v>242636</v>
      </c>
      <c r="E12" s="186">
        <v>194187</v>
      </c>
      <c r="F12" s="187">
        <f>ROUND((E12*(1+'Løntabel gældende fra'!$D$7%)),0)</f>
        <v>247240</v>
      </c>
      <c r="G12" s="185">
        <v>196692</v>
      </c>
      <c r="H12" s="178">
        <f>ROUND((G12*(1+'Løntabel gældende fra'!$D$7%)),0)</f>
        <v>250429</v>
      </c>
      <c r="I12" s="186">
        <v>200308</v>
      </c>
      <c r="J12" s="187">
        <f>ROUND((I12*(1+'Løntabel gældende fra'!$D$7%)),0)</f>
        <v>255033</v>
      </c>
      <c r="K12" s="185">
        <v>202814</v>
      </c>
      <c r="L12" s="178">
        <f>ROUND((K12*(1+'Løntabel gældende fra'!$D$7%)),0)</f>
        <v>258224</v>
      </c>
      <c r="M12" s="382"/>
      <c r="N12" s="360">
        <v>177309.48</v>
      </c>
      <c r="O12" s="192">
        <f>ROUND(N12*(1+'Løntabel gældende fra'!$D$7%),2)</f>
        <v>225751.14</v>
      </c>
    </row>
    <row r="13" spans="1:15">
      <c r="A13" s="2153"/>
      <c r="B13" s="364" t="s">
        <v>94</v>
      </c>
      <c r="C13" s="369">
        <f>C12/12</f>
        <v>15880.916666666666</v>
      </c>
      <c r="D13" s="376">
        <f>ROUND(D12/12,2)</f>
        <v>20219.669999999998</v>
      </c>
      <c r="E13" s="373">
        <f>E12/12</f>
        <v>16182.25</v>
      </c>
      <c r="F13" s="358">
        <f>ROUND(F12/12,2)</f>
        <v>20603.330000000002</v>
      </c>
      <c r="G13" s="369">
        <f>G12/12</f>
        <v>16391</v>
      </c>
      <c r="H13" s="376">
        <f>ROUND(H12/12,2)</f>
        <v>20869.080000000002</v>
      </c>
      <c r="I13" s="373">
        <f>I12/12</f>
        <v>16692.333333333332</v>
      </c>
      <c r="J13" s="358">
        <f>ROUND(J12/12,2)</f>
        <v>21252.75</v>
      </c>
      <c r="K13" s="369">
        <f>K12/12</f>
        <v>16901.166666666668</v>
      </c>
      <c r="L13" s="376">
        <f>ROUND(L12/12,2)</f>
        <v>21518.67</v>
      </c>
      <c r="M13" s="381"/>
      <c r="N13" s="359"/>
      <c r="O13" s="361">
        <f>ROUND(O12/12,2)</f>
        <v>18812.599999999999</v>
      </c>
    </row>
    <row r="14" spans="1:15" ht="15" thickBot="1">
      <c r="A14" s="2154"/>
      <c r="B14" s="344" t="s">
        <v>201</v>
      </c>
      <c r="C14" s="370"/>
      <c r="D14" s="183">
        <f>ROUND(D13/160.33,2)</f>
        <v>126.11</v>
      </c>
      <c r="E14" s="374"/>
      <c r="F14" s="183">
        <f t="shared" ref="F14:O14" si="3">ROUND(F13/160.33,2)</f>
        <v>128.51</v>
      </c>
      <c r="G14" s="183">
        <f t="shared" si="3"/>
        <v>102.23</v>
      </c>
      <c r="H14" s="183">
        <f t="shared" si="3"/>
        <v>130.16</v>
      </c>
      <c r="I14" s="183">
        <f t="shared" si="3"/>
        <v>104.11</v>
      </c>
      <c r="J14" s="183">
        <f t="shared" si="3"/>
        <v>132.56</v>
      </c>
      <c r="K14" s="183">
        <f t="shared" si="3"/>
        <v>105.41</v>
      </c>
      <c r="L14" s="183">
        <f t="shared" si="3"/>
        <v>134.21</v>
      </c>
      <c r="M14" s="183">
        <f t="shared" si="3"/>
        <v>0</v>
      </c>
      <c r="N14" s="183">
        <f t="shared" si="3"/>
        <v>0</v>
      </c>
      <c r="O14" s="183">
        <f t="shared" si="3"/>
        <v>117.34</v>
      </c>
    </row>
    <row r="15" spans="1:15">
      <c r="A15" s="2155">
        <v>4</v>
      </c>
      <c r="B15" s="342" t="s">
        <v>93</v>
      </c>
      <c r="C15" s="185">
        <v>193567</v>
      </c>
      <c r="D15" s="178">
        <f>ROUND((C15*(1+'Løntabel gældende fra'!$D$7%)),0)</f>
        <v>246450</v>
      </c>
      <c r="E15" s="186">
        <v>197274</v>
      </c>
      <c r="F15" s="187">
        <f>ROUND((E15*(1+'Løntabel gældende fra'!$D$7%)),0)</f>
        <v>251170</v>
      </c>
      <c r="G15" s="185">
        <v>199840</v>
      </c>
      <c r="H15" s="178">
        <f>ROUND((G15*(1+'Løntabel gældende fra'!$D$7%)),0)</f>
        <v>254437</v>
      </c>
      <c r="I15" s="186">
        <v>203545</v>
      </c>
      <c r="J15" s="187">
        <f>ROUND((I15*(1+'Løntabel gældende fra'!$D$7%)),0)</f>
        <v>259154</v>
      </c>
      <c r="K15" s="185">
        <v>206110</v>
      </c>
      <c r="L15" s="178">
        <f>ROUND((K15*(1+'Løntabel gældende fra'!$D$7%)),0)</f>
        <v>262420</v>
      </c>
      <c r="M15" s="382"/>
      <c r="N15" s="360">
        <v>180117.41</v>
      </c>
      <c r="O15" s="192">
        <f>ROUND(N15*(1+'Løntabel gældende fra'!$D$7%),2)</f>
        <v>229326.21</v>
      </c>
    </row>
    <row r="16" spans="1:15">
      <c r="A16" s="2153"/>
      <c r="B16" s="364" t="s">
        <v>94</v>
      </c>
      <c r="C16" s="369">
        <f>C15/12</f>
        <v>16130.583333333334</v>
      </c>
      <c r="D16" s="376">
        <f>ROUND(D15/12,2)</f>
        <v>20537.5</v>
      </c>
      <c r="E16" s="373">
        <f>E15/12</f>
        <v>16439.5</v>
      </c>
      <c r="F16" s="358">
        <f>ROUND(F15/12,2)</f>
        <v>20930.830000000002</v>
      </c>
      <c r="G16" s="369">
        <f>G15/12</f>
        <v>16653.333333333332</v>
      </c>
      <c r="H16" s="376">
        <f>ROUND(H15/12,2)</f>
        <v>21203.08</v>
      </c>
      <c r="I16" s="373">
        <f>I15/12</f>
        <v>16962.083333333332</v>
      </c>
      <c r="J16" s="358">
        <f>ROUND(J15/12,2)</f>
        <v>21596.17</v>
      </c>
      <c r="K16" s="369">
        <f>K15/12</f>
        <v>17175.833333333332</v>
      </c>
      <c r="L16" s="376">
        <f>ROUND(L15/12,2)</f>
        <v>21868.33</v>
      </c>
      <c r="M16" s="381"/>
      <c r="N16" s="359"/>
      <c r="O16" s="361">
        <f>ROUND(O15/12,2)</f>
        <v>19110.52</v>
      </c>
    </row>
    <row r="17" spans="1:15" ht="15" thickBot="1">
      <c r="A17" s="2154"/>
      <c r="B17" s="344" t="s">
        <v>201</v>
      </c>
      <c r="C17" s="370"/>
      <c r="D17" s="183">
        <f>ROUND(D16/160.33,2)</f>
        <v>128.1</v>
      </c>
      <c r="E17" s="374"/>
      <c r="F17" s="183">
        <f t="shared" ref="F17:O17" si="4">ROUND(F16/160.33,2)</f>
        <v>130.55000000000001</v>
      </c>
      <c r="G17" s="183">
        <f t="shared" si="4"/>
        <v>103.87</v>
      </c>
      <c r="H17" s="183">
        <f t="shared" si="4"/>
        <v>132.25</v>
      </c>
      <c r="I17" s="183">
        <f t="shared" si="4"/>
        <v>105.79</v>
      </c>
      <c r="J17" s="183">
        <f t="shared" si="4"/>
        <v>134.69999999999999</v>
      </c>
      <c r="K17" s="183">
        <f t="shared" si="4"/>
        <v>107.13</v>
      </c>
      <c r="L17" s="183">
        <f t="shared" si="4"/>
        <v>136.4</v>
      </c>
      <c r="M17" s="183">
        <f t="shared" si="4"/>
        <v>0</v>
      </c>
      <c r="N17" s="183">
        <f t="shared" si="4"/>
        <v>0</v>
      </c>
      <c r="O17" s="183">
        <f t="shared" si="4"/>
        <v>119.19</v>
      </c>
    </row>
    <row r="18" spans="1:15">
      <c r="A18" s="2155">
        <v>5</v>
      </c>
      <c r="B18" s="342" t="s">
        <v>93</v>
      </c>
      <c r="C18" s="185">
        <v>196645</v>
      </c>
      <c r="D18" s="178">
        <f>ROUND((C18*(1+'Løntabel gældende fra'!$D$7%)),0)</f>
        <v>250369</v>
      </c>
      <c r="E18" s="186">
        <v>200442</v>
      </c>
      <c r="F18" s="187">
        <f>ROUND((E18*(1+'Løntabel gældende fra'!$D$7%)),0)</f>
        <v>255204</v>
      </c>
      <c r="G18" s="185">
        <v>203072</v>
      </c>
      <c r="H18" s="178">
        <f>ROUND((G18*(1+'Løntabel gældende fra'!$D$7%)),0)</f>
        <v>258552</v>
      </c>
      <c r="I18" s="186">
        <v>206869</v>
      </c>
      <c r="J18" s="187">
        <f>ROUND((I18*(1+'Løntabel gældende fra'!$D$7%)),0)</f>
        <v>263386</v>
      </c>
      <c r="K18" s="185">
        <v>209497</v>
      </c>
      <c r="L18" s="178">
        <f>ROUND((K18*(1+'Løntabel gældende fra'!$D$7%)),0)</f>
        <v>266732</v>
      </c>
      <c r="M18" s="382"/>
      <c r="N18" s="360">
        <v>183001.14</v>
      </c>
      <c r="O18" s="192">
        <f>ROUND(N18*(1+'Løntabel gældende fra'!$D$7%),2)</f>
        <v>232997.78</v>
      </c>
    </row>
    <row r="19" spans="1:15">
      <c r="A19" s="2153"/>
      <c r="B19" s="364" t="s">
        <v>94</v>
      </c>
      <c r="C19" s="369">
        <f>C18/12</f>
        <v>16387.083333333332</v>
      </c>
      <c r="D19" s="376">
        <f>ROUND(D18/12,2)</f>
        <v>20864.080000000002</v>
      </c>
      <c r="E19" s="373">
        <f>E18/12</f>
        <v>16703.5</v>
      </c>
      <c r="F19" s="358">
        <f>ROUND(F18/12,2)</f>
        <v>21267</v>
      </c>
      <c r="G19" s="369">
        <f>G18/12</f>
        <v>16922.666666666668</v>
      </c>
      <c r="H19" s="376">
        <f>ROUND(H18/12,2)</f>
        <v>21546</v>
      </c>
      <c r="I19" s="373">
        <f>I18/12</f>
        <v>17239.083333333332</v>
      </c>
      <c r="J19" s="358">
        <f>ROUND(J18/12,2)</f>
        <v>21948.83</v>
      </c>
      <c r="K19" s="369">
        <f>K18/12</f>
        <v>17458.083333333332</v>
      </c>
      <c r="L19" s="376">
        <f>ROUND(L18/12,2)</f>
        <v>22227.67</v>
      </c>
      <c r="M19" s="381"/>
      <c r="N19" s="359"/>
      <c r="O19" s="361">
        <f>ROUND(O18/12,2)</f>
        <v>19416.48</v>
      </c>
    </row>
    <row r="20" spans="1:15" ht="15" thickBot="1">
      <c r="A20" s="2154"/>
      <c r="B20" s="344" t="s">
        <v>201</v>
      </c>
      <c r="C20" s="370"/>
      <c r="D20" s="183">
        <f>ROUND(D19/160.33,2)</f>
        <v>130.13</v>
      </c>
      <c r="E20" s="374"/>
      <c r="F20" s="183">
        <f t="shared" ref="F20:O20" si="5">ROUND(F19/160.33,2)</f>
        <v>132.65</v>
      </c>
      <c r="G20" s="183">
        <f t="shared" si="5"/>
        <v>105.55</v>
      </c>
      <c r="H20" s="183">
        <f t="shared" si="5"/>
        <v>134.38999999999999</v>
      </c>
      <c r="I20" s="183">
        <f t="shared" si="5"/>
        <v>107.52</v>
      </c>
      <c r="J20" s="183">
        <f t="shared" si="5"/>
        <v>136.9</v>
      </c>
      <c r="K20" s="183">
        <f t="shared" si="5"/>
        <v>108.89</v>
      </c>
      <c r="L20" s="183">
        <f t="shared" si="5"/>
        <v>138.63999999999999</v>
      </c>
      <c r="M20" s="183">
        <f t="shared" si="5"/>
        <v>0</v>
      </c>
      <c r="N20" s="183">
        <f t="shared" si="5"/>
        <v>0</v>
      </c>
      <c r="O20" s="183">
        <f t="shared" si="5"/>
        <v>121.1</v>
      </c>
    </row>
    <row r="21" spans="1:15">
      <c r="A21" s="2152">
        <v>6</v>
      </c>
      <c r="B21" s="176" t="s">
        <v>93</v>
      </c>
      <c r="C21" s="177">
        <v>199810</v>
      </c>
      <c r="D21" s="181">
        <f>ROUND((C21*(1+'Løntabel gældende fra'!$D$7%)),0)</f>
        <v>254399</v>
      </c>
      <c r="E21" s="179">
        <v>203700</v>
      </c>
      <c r="F21" s="180">
        <f>ROUND((E21*(1+'Løntabel gældende fra'!$D$7%)),0)</f>
        <v>259352</v>
      </c>
      <c r="G21" s="177">
        <v>206395</v>
      </c>
      <c r="H21" s="181">
        <f>ROUND((G21*(1+'Løntabel gældende fra'!$D$7%)),0)</f>
        <v>262783</v>
      </c>
      <c r="I21" s="179">
        <v>210285</v>
      </c>
      <c r="J21" s="180">
        <f>ROUND((I21*(1+'Løntabel gældende fra'!$D$7%)),0)</f>
        <v>267736</v>
      </c>
      <c r="K21" s="177">
        <v>212978</v>
      </c>
      <c r="L21" s="181">
        <f>ROUND((K21*(1+'Løntabel gældende fra'!$D$7%)),0)</f>
        <v>271164</v>
      </c>
      <c r="M21" s="383"/>
      <c r="N21" s="362">
        <v>185966.06</v>
      </c>
      <c r="O21" s="363">
        <f>ROUND(N21*(1+'Løntabel gældende fra'!$D$7%),2)</f>
        <v>236772.73</v>
      </c>
    </row>
    <row r="22" spans="1:15">
      <c r="A22" s="2153"/>
      <c r="B22" s="364" t="s">
        <v>94</v>
      </c>
      <c r="C22" s="369">
        <f>C21/12</f>
        <v>16650.833333333332</v>
      </c>
      <c r="D22" s="376">
        <f>ROUND(D21/12,2)</f>
        <v>21199.919999999998</v>
      </c>
      <c r="E22" s="373">
        <f>E21/12</f>
        <v>16975</v>
      </c>
      <c r="F22" s="358">
        <f>ROUND(F21/12,2)</f>
        <v>21612.67</v>
      </c>
      <c r="G22" s="369">
        <f>G21/12</f>
        <v>17199.583333333332</v>
      </c>
      <c r="H22" s="376">
        <f>ROUND(H21/12,2)</f>
        <v>21898.58</v>
      </c>
      <c r="I22" s="373">
        <f>I21/12</f>
        <v>17523.75</v>
      </c>
      <c r="J22" s="358">
        <f>ROUND(J21/12,2)</f>
        <v>22311.33</v>
      </c>
      <c r="K22" s="369">
        <f>K21/12</f>
        <v>17748.166666666668</v>
      </c>
      <c r="L22" s="376">
        <f>ROUND(L21/12,2)</f>
        <v>22597</v>
      </c>
      <c r="M22" s="381"/>
      <c r="N22" s="359"/>
      <c r="O22" s="361">
        <f>ROUND(O21/12,2)</f>
        <v>19731.060000000001</v>
      </c>
    </row>
    <row r="23" spans="1:15" ht="15" thickBot="1">
      <c r="A23" s="2156"/>
      <c r="B23" s="365" t="s">
        <v>201</v>
      </c>
      <c r="C23" s="371"/>
      <c r="D23" s="377">
        <f>ROUND(D22/160.33,2)</f>
        <v>132.22999999999999</v>
      </c>
      <c r="E23" s="375"/>
      <c r="F23" s="377">
        <f t="shared" ref="F23:O23" si="6">ROUND(F22/160.33,2)</f>
        <v>134.80000000000001</v>
      </c>
      <c r="G23" s="377">
        <f t="shared" si="6"/>
        <v>107.28</v>
      </c>
      <c r="H23" s="377">
        <f t="shared" si="6"/>
        <v>136.58000000000001</v>
      </c>
      <c r="I23" s="377">
        <f t="shared" si="6"/>
        <v>109.3</v>
      </c>
      <c r="J23" s="377">
        <f t="shared" si="6"/>
        <v>139.16</v>
      </c>
      <c r="K23" s="377">
        <f t="shared" si="6"/>
        <v>110.7</v>
      </c>
      <c r="L23" s="377">
        <f t="shared" si="6"/>
        <v>140.94</v>
      </c>
      <c r="M23" s="377">
        <f t="shared" si="6"/>
        <v>0</v>
      </c>
      <c r="N23" s="377">
        <f t="shared" si="6"/>
        <v>0</v>
      </c>
      <c r="O23" s="377">
        <f t="shared" si="6"/>
        <v>123.07</v>
      </c>
    </row>
    <row r="24" spans="1:15">
      <c r="A24" s="2155">
        <v>7</v>
      </c>
      <c r="B24" s="342" t="s">
        <v>93</v>
      </c>
      <c r="C24" s="185">
        <v>203058</v>
      </c>
      <c r="D24" s="178">
        <f>ROUND((C24*(1+'Løntabel gældende fra'!$D$7%)),0)</f>
        <v>258534</v>
      </c>
      <c r="E24" s="186">
        <v>207045</v>
      </c>
      <c r="F24" s="187">
        <f>ROUND((E24*(1+'Løntabel gældende fra'!$D$7%)),0)</f>
        <v>263611</v>
      </c>
      <c r="G24" s="185">
        <v>209805</v>
      </c>
      <c r="H24" s="178">
        <f>ROUND((G24*(1+'Løntabel gældende fra'!$D$7%)),0)</f>
        <v>267125</v>
      </c>
      <c r="I24" s="186">
        <v>213792</v>
      </c>
      <c r="J24" s="187">
        <f>ROUND((I24*(1+'Løntabel gældende fra'!$D$7%)),0)</f>
        <v>272201</v>
      </c>
      <c r="K24" s="185">
        <v>216551</v>
      </c>
      <c r="L24" s="178">
        <f>ROUND((K24*(1+'Løntabel gældende fra'!$D$7%)),0)</f>
        <v>275714</v>
      </c>
      <c r="M24" s="382"/>
      <c r="N24" s="360">
        <v>189010.4</v>
      </c>
      <c r="O24" s="192">
        <f>ROUND(N24*(1+'Løntabel gældende fra'!$D$7%),2)</f>
        <v>240648.8</v>
      </c>
    </row>
    <row r="25" spans="1:15">
      <c r="A25" s="2153"/>
      <c r="B25" s="364" t="s">
        <v>94</v>
      </c>
      <c r="C25" s="369"/>
      <c r="D25" s="376">
        <f>ROUND(D24/12,2)</f>
        <v>21544.5</v>
      </c>
      <c r="E25" s="373">
        <f>E24/12</f>
        <v>17253.75</v>
      </c>
      <c r="F25" s="358">
        <f>ROUND(F24/12,2)</f>
        <v>21967.58</v>
      </c>
      <c r="G25" s="369">
        <f>G24/12</f>
        <v>17483.75</v>
      </c>
      <c r="H25" s="376">
        <f>ROUND(H24/12,2)</f>
        <v>22260.42</v>
      </c>
      <c r="I25" s="373">
        <f>I24/12</f>
        <v>17816</v>
      </c>
      <c r="J25" s="358">
        <f>ROUND(J24/12,2)</f>
        <v>22683.42</v>
      </c>
      <c r="K25" s="369">
        <f>K24/12</f>
        <v>18045.916666666668</v>
      </c>
      <c r="L25" s="376">
        <f>ROUND(L24/12,2)</f>
        <v>22976.17</v>
      </c>
      <c r="M25" s="381"/>
      <c r="N25" s="359"/>
      <c r="O25" s="361">
        <f>ROUND(O24/12,2)</f>
        <v>20054.07</v>
      </c>
    </row>
    <row r="26" spans="1:15" ht="15" thickBot="1">
      <c r="A26" s="2154"/>
      <c r="B26" s="344" t="s">
        <v>201</v>
      </c>
      <c r="C26" s="182">
        <f>C24/12</f>
        <v>16921.5</v>
      </c>
      <c r="D26" s="183">
        <f>ROUND(D25/160.33,2)</f>
        <v>134.38</v>
      </c>
      <c r="E26" s="374"/>
      <c r="F26" s="183">
        <f t="shared" ref="F26:O26" si="7">ROUND(F25/160.33,2)</f>
        <v>137.01</v>
      </c>
      <c r="G26" s="183">
        <f t="shared" si="7"/>
        <v>109.05</v>
      </c>
      <c r="H26" s="183">
        <f t="shared" si="7"/>
        <v>138.84</v>
      </c>
      <c r="I26" s="183">
        <f t="shared" si="7"/>
        <v>111.12</v>
      </c>
      <c r="J26" s="183">
        <f t="shared" si="7"/>
        <v>141.47999999999999</v>
      </c>
      <c r="K26" s="183">
        <f t="shared" si="7"/>
        <v>112.55</v>
      </c>
      <c r="L26" s="183">
        <f t="shared" si="7"/>
        <v>143.31</v>
      </c>
      <c r="M26" s="183">
        <f t="shared" si="7"/>
        <v>0</v>
      </c>
      <c r="N26" s="183">
        <f t="shared" si="7"/>
        <v>0</v>
      </c>
      <c r="O26" s="183">
        <f t="shared" si="7"/>
        <v>125.08</v>
      </c>
    </row>
    <row r="27" spans="1:15">
      <c r="A27" s="2152">
        <v>8</v>
      </c>
      <c r="B27" s="176" t="s">
        <v>93</v>
      </c>
      <c r="C27" s="177">
        <v>206396</v>
      </c>
      <c r="D27" s="181">
        <f>ROUND((C27*(1+'Løntabel gældende fra'!$D$7%)),0)</f>
        <v>262784</v>
      </c>
      <c r="E27" s="179">
        <v>210482</v>
      </c>
      <c r="F27" s="180">
        <f>ROUND((E27*(1+'Løntabel gældende fra'!$D$7%)),0)</f>
        <v>267987</v>
      </c>
      <c r="G27" s="177">
        <v>213311</v>
      </c>
      <c r="H27" s="181">
        <f>ROUND((G27*(1+'Løntabel gældende fra'!$D$7%)),0)</f>
        <v>271588</v>
      </c>
      <c r="I27" s="179">
        <v>217397</v>
      </c>
      <c r="J27" s="180">
        <f>ROUND((I27*(1+'Løntabel gældende fra'!$D$7%)),0)</f>
        <v>276791</v>
      </c>
      <c r="K27" s="177">
        <v>220226</v>
      </c>
      <c r="L27" s="181">
        <f>ROUND((K27*(1+'Løntabel gældende fra'!$D$7%)),0)</f>
        <v>280393</v>
      </c>
      <c r="M27" s="383"/>
      <c r="N27" s="362">
        <v>192139.54</v>
      </c>
      <c r="O27" s="363">
        <f>ROUND(N27*(1+'Løntabel gældende fra'!$D$7%),2)</f>
        <v>244632.83</v>
      </c>
    </row>
    <row r="28" spans="1:15">
      <c r="A28" s="2153"/>
      <c r="B28" s="364" t="s">
        <v>94</v>
      </c>
      <c r="C28" s="369"/>
      <c r="D28" s="376">
        <f>ROUND(D27/12,2)</f>
        <v>21898.67</v>
      </c>
      <c r="E28" s="373">
        <f>E27/12</f>
        <v>17540.166666666668</v>
      </c>
      <c r="F28" s="358">
        <f>ROUND(F27/12,2)</f>
        <v>22332.25</v>
      </c>
      <c r="G28" s="369">
        <f>G27/12</f>
        <v>17775.916666666668</v>
      </c>
      <c r="H28" s="376">
        <f>ROUND(H27/12,2)</f>
        <v>22632.33</v>
      </c>
      <c r="I28" s="373">
        <f>I27/12</f>
        <v>18116.416666666668</v>
      </c>
      <c r="J28" s="358">
        <f>ROUND(J27/12,2)</f>
        <v>23065.919999999998</v>
      </c>
      <c r="K28" s="369">
        <f>K27/12</f>
        <v>18352.166666666668</v>
      </c>
      <c r="L28" s="376">
        <f>ROUND(L27/12,2)</f>
        <v>23366.080000000002</v>
      </c>
      <c r="M28" s="381"/>
      <c r="N28" s="359"/>
      <c r="O28" s="361">
        <f>ROUND(O27/12,2)</f>
        <v>20386.07</v>
      </c>
    </row>
    <row r="29" spans="1:15" ht="15" thickBot="1">
      <c r="A29" s="2156"/>
      <c r="B29" s="365" t="s">
        <v>201</v>
      </c>
      <c r="C29" s="372">
        <f>C27/12</f>
        <v>17199.666666666668</v>
      </c>
      <c r="D29" s="377">
        <f>ROUND(D28/160.33,2)</f>
        <v>136.58000000000001</v>
      </c>
      <c r="E29" s="375"/>
      <c r="F29" s="377">
        <f t="shared" ref="F29:O29" si="8">ROUND(F28/160.33,2)</f>
        <v>139.29</v>
      </c>
      <c r="G29" s="377">
        <f t="shared" si="8"/>
        <v>110.87</v>
      </c>
      <c r="H29" s="377">
        <f t="shared" si="8"/>
        <v>141.16</v>
      </c>
      <c r="I29" s="377">
        <f t="shared" si="8"/>
        <v>112.99</v>
      </c>
      <c r="J29" s="377">
        <f t="shared" si="8"/>
        <v>143.87</v>
      </c>
      <c r="K29" s="377">
        <f t="shared" si="8"/>
        <v>114.46</v>
      </c>
      <c r="L29" s="377">
        <f t="shared" si="8"/>
        <v>145.74</v>
      </c>
      <c r="M29" s="377">
        <f t="shared" si="8"/>
        <v>0</v>
      </c>
      <c r="N29" s="377">
        <f t="shared" si="8"/>
        <v>0</v>
      </c>
      <c r="O29" s="377">
        <f t="shared" si="8"/>
        <v>127.15</v>
      </c>
    </row>
    <row r="30" spans="1:15">
      <c r="A30" s="2155">
        <v>9</v>
      </c>
      <c r="B30" s="342" t="s">
        <v>93</v>
      </c>
      <c r="C30" s="185">
        <v>209829</v>
      </c>
      <c r="D30" s="178">
        <f>ROUND((C30*(1+'Løntabel gældende fra'!$D$7%)),0)</f>
        <v>267155</v>
      </c>
      <c r="E30" s="186">
        <v>214015</v>
      </c>
      <c r="F30" s="187">
        <f>ROUND((E30*(1+'Løntabel gældende fra'!$D$7%)),0)</f>
        <v>272485</v>
      </c>
      <c r="G30" s="185">
        <v>216916</v>
      </c>
      <c r="H30" s="178">
        <f>ROUND((G30*(1+'Løntabel gældende fra'!$D$7%)),0)</f>
        <v>276178</v>
      </c>
      <c r="I30" s="186">
        <v>221102</v>
      </c>
      <c r="J30" s="187">
        <f>ROUND((I30*(1+'Løntabel gældende fra'!$D$7%)),0)</f>
        <v>281508</v>
      </c>
      <c r="K30" s="185">
        <v>224002</v>
      </c>
      <c r="L30" s="178">
        <f>ROUND((K30*(1+'Løntabel gældende fra'!$D$7%)),0)</f>
        <v>285200</v>
      </c>
      <c r="M30" s="382"/>
      <c r="N30" s="360">
        <v>195355.31</v>
      </c>
      <c r="O30" s="192">
        <f>ROUND(N30*(1+'Løntabel gældende fra'!$D$7%),2)</f>
        <v>248727.16</v>
      </c>
    </row>
    <row r="31" spans="1:15">
      <c r="A31" s="2153"/>
      <c r="B31" s="364" t="s">
        <v>206</v>
      </c>
      <c r="C31" s="369"/>
      <c r="D31" s="376">
        <f>ROUND(D30/12,2)</f>
        <v>22262.92</v>
      </c>
      <c r="E31" s="373">
        <f>E30/12</f>
        <v>17834.583333333332</v>
      </c>
      <c r="F31" s="358">
        <f>ROUND(F30/12,2)</f>
        <v>22707.08</v>
      </c>
      <c r="G31" s="369">
        <f>G30/12</f>
        <v>18076.333333333332</v>
      </c>
      <c r="H31" s="376">
        <f>ROUND(H30/12,2)</f>
        <v>23014.83</v>
      </c>
      <c r="I31" s="373">
        <f>I30/12</f>
        <v>18425.166666666668</v>
      </c>
      <c r="J31" s="358">
        <f>ROUND(J30/12,2)</f>
        <v>23459</v>
      </c>
      <c r="K31" s="369">
        <f>K30/12</f>
        <v>18666.833333333332</v>
      </c>
      <c r="L31" s="376">
        <f>ROUND(L30/12,2)</f>
        <v>23766.67</v>
      </c>
      <c r="M31" s="381"/>
      <c r="N31" s="359"/>
      <c r="O31" s="361">
        <f>ROUND(O30/12,2)</f>
        <v>20727.259999999998</v>
      </c>
    </row>
    <row r="32" spans="1:15" ht="15" thickBot="1">
      <c r="A32" s="2154"/>
      <c r="B32" s="344" t="s">
        <v>201</v>
      </c>
      <c r="C32" s="182">
        <f>C30/12</f>
        <v>17485.75</v>
      </c>
      <c r="D32" s="183">
        <f>ROUND(D31/160.33,2)</f>
        <v>138.86000000000001</v>
      </c>
      <c r="E32" s="374"/>
      <c r="F32" s="183">
        <f t="shared" ref="F32:O32" si="9">ROUND(F31/160.33,2)</f>
        <v>141.63</v>
      </c>
      <c r="G32" s="183">
        <f t="shared" si="9"/>
        <v>112.74</v>
      </c>
      <c r="H32" s="183">
        <f t="shared" si="9"/>
        <v>143.55000000000001</v>
      </c>
      <c r="I32" s="183">
        <f t="shared" si="9"/>
        <v>114.92</v>
      </c>
      <c r="J32" s="183">
        <f t="shared" si="9"/>
        <v>146.32</v>
      </c>
      <c r="K32" s="183">
        <f t="shared" si="9"/>
        <v>116.43</v>
      </c>
      <c r="L32" s="183">
        <f t="shared" si="9"/>
        <v>148.24</v>
      </c>
      <c r="M32" s="183">
        <f t="shared" si="9"/>
        <v>0</v>
      </c>
      <c r="N32" s="183">
        <f t="shared" si="9"/>
        <v>0</v>
      </c>
      <c r="O32" s="183">
        <f t="shared" si="9"/>
        <v>129.28</v>
      </c>
    </row>
    <row r="33" spans="1:15">
      <c r="A33" s="2152">
        <v>10</v>
      </c>
      <c r="B33" s="176" t="s">
        <v>93</v>
      </c>
      <c r="C33" s="177">
        <v>213353</v>
      </c>
      <c r="D33" s="181">
        <f>ROUND((C33*(1+'Løntabel gældende fra'!$D$7%)),0)</f>
        <v>271642</v>
      </c>
      <c r="E33" s="179">
        <v>217646</v>
      </c>
      <c r="F33" s="180">
        <f>ROUND((E33*(1+'Løntabel gældende fra'!$D$7%)),0)</f>
        <v>277108</v>
      </c>
      <c r="G33" s="177">
        <v>220617</v>
      </c>
      <c r="H33" s="181">
        <f>ROUND((G33*(1+'Løntabel gældende fra'!$D$7%)),0)</f>
        <v>280890</v>
      </c>
      <c r="I33" s="179">
        <v>224909</v>
      </c>
      <c r="J33" s="180">
        <f>ROUND((I33*(1+'Løntabel gældende fra'!$D$7%)),0)</f>
        <v>286355</v>
      </c>
      <c r="K33" s="177">
        <v>227882</v>
      </c>
      <c r="L33" s="181">
        <f>ROUND((K33*(1+'Løntabel gældende fra'!$D$7%)),0)</f>
        <v>290140</v>
      </c>
      <c r="M33" s="383"/>
      <c r="N33" s="362">
        <v>198659.5</v>
      </c>
      <c r="O33" s="363">
        <f>ROUND(N33*(1+'Løntabel gældende fra'!$D$7%),2)</f>
        <v>252934.07</v>
      </c>
    </row>
    <row r="34" spans="1:15">
      <c r="A34" s="2153"/>
      <c r="B34" s="364" t="s">
        <v>94</v>
      </c>
      <c r="C34" s="369"/>
      <c r="D34" s="376">
        <f>ROUND(D33/12,2)</f>
        <v>22636.83</v>
      </c>
      <c r="E34" s="373">
        <f>E33/12</f>
        <v>18137.166666666668</v>
      </c>
      <c r="F34" s="358">
        <f>ROUND(F33/12,2)</f>
        <v>23092.33</v>
      </c>
      <c r="G34" s="369">
        <f>G33/12</f>
        <v>18384.75</v>
      </c>
      <c r="H34" s="376">
        <f>ROUND(H33/12,2)</f>
        <v>23407.5</v>
      </c>
      <c r="I34" s="373">
        <f>I33/12</f>
        <v>18742.416666666668</v>
      </c>
      <c r="J34" s="358">
        <f>ROUND(J33/12,2)</f>
        <v>23862.92</v>
      </c>
      <c r="K34" s="369">
        <f>K33/12</f>
        <v>18990.166666666668</v>
      </c>
      <c r="L34" s="376">
        <f>ROUND(L33/12,2)</f>
        <v>24178.33</v>
      </c>
      <c r="M34" s="381"/>
      <c r="N34" s="359"/>
      <c r="O34" s="361">
        <f>ROUND(O33/12,2)</f>
        <v>21077.84</v>
      </c>
    </row>
    <row r="35" spans="1:15" ht="15" thickBot="1">
      <c r="A35" s="2156"/>
      <c r="B35" s="365" t="s">
        <v>201</v>
      </c>
      <c r="C35" s="372">
        <f>C33/12</f>
        <v>17779.416666666668</v>
      </c>
      <c r="D35" s="377">
        <f>ROUND(D34/160.33,2)</f>
        <v>141.19</v>
      </c>
      <c r="E35" s="375"/>
      <c r="F35" s="377">
        <f t="shared" ref="F35:O35" si="10">ROUND(F34/160.33,2)</f>
        <v>144.03</v>
      </c>
      <c r="G35" s="377">
        <f t="shared" si="10"/>
        <v>114.67</v>
      </c>
      <c r="H35" s="377">
        <f t="shared" si="10"/>
        <v>146</v>
      </c>
      <c r="I35" s="377">
        <f t="shared" si="10"/>
        <v>116.9</v>
      </c>
      <c r="J35" s="377">
        <f t="shared" si="10"/>
        <v>148.84</v>
      </c>
      <c r="K35" s="377">
        <f t="shared" si="10"/>
        <v>118.44</v>
      </c>
      <c r="L35" s="377">
        <f t="shared" si="10"/>
        <v>150.80000000000001</v>
      </c>
      <c r="M35" s="377">
        <f t="shared" si="10"/>
        <v>0</v>
      </c>
      <c r="N35" s="377">
        <f t="shared" si="10"/>
        <v>0</v>
      </c>
      <c r="O35" s="377">
        <f t="shared" si="10"/>
        <v>131.47</v>
      </c>
    </row>
    <row r="36" spans="1:15">
      <c r="A36" s="2155">
        <v>11</v>
      </c>
      <c r="B36" s="342" t="s">
        <v>93</v>
      </c>
      <c r="C36" s="185">
        <v>216134</v>
      </c>
      <c r="D36" s="178">
        <f>ROUND((C36*(1+'Løntabel gældende fra'!$D$7%)),0)</f>
        <v>275183</v>
      </c>
      <c r="E36" s="186">
        <v>220533</v>
      </c>
      <c r="F36" s="187">
        <f>ROUND((E36*(1+'Løntabel gældende fra'!$D$7%)),0)</f>
        <v>280783</v>
      </c>
      <c r="G36" s="185">
        <v>223579</v>
      </c>
      <c r="H36" s="178">
        <f>ROUND((G36*(1+'Løntabel gældende fra'!$D$7%)),0)</f>
        <v>284662</v>
      </c>
      <c r="I36" s="186">
        <v>227978</v>
      </c>
      <c r="J36" s="187">
        <f>ROUND((I36*(1+'Løntabel gældende fra'!$D$7%)),0)</f>
        <v>290263</v>
      </c>
      <c r="K36" s="185">
        <v>231023</v>
      </c>
      <c r="L36" s="178">
        <f>ROUND((K36*(1+'Løntabel gældende fra'!$D$7%)),0)</f>
        <v>294139</v>
      </c>
      <c r="M36" s="382"/>
      <c r="N36" s="360">
        <v>202053.93</v>
      </c>
      <c r="O36" s="192">
        <f>ROUND(N36*(1+'Løntabel gældende fra'!$D$7%),2)</f>
        <v>257255.87</v>
      </c>
    </row>
    <row r="37" spans="1:15">
      <c r="A37" s="2153"/>
      <c r="B37" s="364" t="s">
        <v>206</v>
      </c>
      <c r="C37" s="369"/>
      <c r="D37" s="376">
        <f>ROUND(D36/12,2)</f>
        <v>22931.919999999998</v>
      </c>
      <c r="E37" s="373">
        <f>E36/12</f>
        <v>18377.75</v>
      </c>
      <c r="F37" s="358">
        <f>ROUND(F36/12,2)</f>
        <v>23398.58</v>
      </c>
      <c r="G37" s="369">
        <f>G36/12</f>
        <v>18631.583333333332</v>
      </c>
      <c r="H37" s="376">
        <f>ROUND(H36/12,2)</f>
        <v>23721.83</v>
      </c>
      <c r="I37" s="373">
        <f>I36/12</f>
        <v>18998.166666666668</v>
      </c>
      <c r="J37" s="358">
        <f>ROUND(J36/12,2)</f>
        <v>24188.58</v>
      </c>
      <c r="K37" s="369">
        <f>K36/12</f>
        <v>19251.916666666668</v>
      </c>
      <c r="L37" s="376">
        <f>ROUND(L36/12,2)</f>
        <v>24511.58</v>
      </c>
      <c r="M37" s="381"/>
      <c r="N37" s="359"/>
      <c r="O37" s="361">
        <f>ROUND(O36/12,2)</f>
        <v>21437.99</v>
      </c>
    </row>
    <row r="38" spans="1:15" ht="15" thickBot="1">
      <c r="A38" s="2154"/>
      <c r="B38" s="344" t="s">
        <v>201</v>
      </c>
      <c r="C38" s="182">
        <f>C36/12</f>
        <v>18011.166666666668</v>
      </c>
      <c r="D38" s="183">
        <f>ROUND(D37/160.33,2)</f>
        <v>143.03</v>
      </c>
      <c r="E38" s="374"/>
      <c r="F38" s="183">
        <f t="shared" ref="F38:O38" si="11">ROUND(F37/160.33,2)</f>
        <v>145.94</v>
      </c>
      <c r="G38" s="183">
        <f t="shared" si="11"/>
        <v>116.21</v>
      </c>
      <c r="H38" s="183">
        <f t="shared" si="11"/>
        <v>147.96</v>
      </c>
      <c r="I38" s="183">
        <f t="shared" si="11"/>
        <v>118.49</v>
      </c>
      <c r="J38" s="183">
        <f t="shared" si="11"/>
        <v>150.87</v>
      </c>
      <c r="K38" s="183">
        <f t="shared" si="11"/>
        <v>120.08</v>
      </c>
      <c r="L38" s="183">
        <f t="shared" si="11"/>
        <v>152.88</v>
      </c>
      <c r="M38" s="183">
        <f t="shared" si="11"/>
        <v>0</v>
      </c>
      <c r="N38" s="183">
        <f t="shared" si="11"/>
        <v>0</v>
      </c>
      <c r="O38" s="183">
        <f t="shared" si="11"/>
        <v>133.71</v>
      </c>
    </row>
    <row r="39" spans="1:15">
      <c r="A39" s="2152">
        <v>12</v>
      </c>
      <c r="B39" s="176" t="s">
        <v>93</v>
      </c>
      <c r="C39" s="177">
        <v>219855</v>
      </c>
      <c r="D39" s="181">
        <f>ROUND((C39*(1+'Løntabel gældende fra'!$D$7%)),0)</f>
        <v>279920</v>
      </c>
      <c r="E39" s="179">
        <v>224365</v>
      </c>
      <c r="F39" s="180">
        <f>ROUND((E39*(1+'Løntabel gældende fra'!$D$7%)),0)</f>
        <v>285662</v>
      </c>
      <c r="G39" s="177">
        <v>227489</v>
      </c>
      <c r="H39" s="181">
        <f>ROUND((G39*(1+'Løntabel gældende fra'!$D$7%)),0)</f>
        <v>289640</v>
      </c>
      <c r="I39" s="179">
        <v>231997</v>
      </c>
      <c r="J39" s="180">
        <f>ROUND((I39*(1+'Løntabel gældende fra'!$D$7%)),0)</f>
        <v>295380</v>
      </c>
      <c r="K39" s="177">
        <v>235119</v>
      </c>
      <c r="L39" s="181">
        <f>ROUND((K39*(1+'Løntabel gældende fra'!$D$7%)),0)</f>
        <v>299354</v>
      </c>
      <c r="M39" s="383"/>
      <c r="N39" s="362">
        <v>205542.18</v>
      </c>
      <c r="O39" s="363">
        <f>ROUND(N39*(1+'Løntabel gældende fra'!$D$7%),2)</f>
        <v>261697.13</v>
      </c>
    </row>
    <row r="40" spans="1:15">
      <c r="A40" s="2153"/>
      <c r="B40" s="364" t="s">
        <v>94</v>
      </c>
      <c r="C40" s="369"/>
      <c r="D40" s="376">
        <f>ROUND(D39/12,2)</f>
        <v>23326.67</v>
      </c>
      <c r="E40" s="373">
        <f>E39/12</f>
        <v>18697.083333333332</v>
      </c>
      <c r="F40" s="358">
        <f>ROUND(F39/12,2)</f>
        <v>23805.17</v>
      </c>
      <c r="G40" s="369">
        <f>G39/12</f>
        <v>18957.416666666668</v>
      </c>
      <c r="H40" s="376">
        <f>ROUND(H39/12,2)</f>
        <v>24136.67</v>
      </c>
      <c r="I40" s="373">
        <f>I39/12</f>
        <v>19333.083333333332</v>
      </c>
      <c r="J40" s="358">
        <f>ROUND(J39/12,2)</f>
        <v>24615</v>
      </c>
      <c r="K40" s="369">
        <f>K39/12</f>
        <v>19593.25</v>
      </c>
      <c r="L40" s="376">
        <f>ROUND(L39/12,2)</f>
        <v>24946.17</v>
      </c>
      <c r="M40" s="381"/>
      <c r="N40" s="359"/>
      <c r="O40" s="361">
        <f>ROUND(O39/12,2)</f>
        <v>21808.09</v>
      </c>
    </row>
    <row r="41" spans="1:15" ht="15" thickBot="1">
      <c r="A41" s="2156"/>
      <c r="B41" s="365" t="s">
        <v>201</v>
      </c>
      <c r="C41" s="372">
        <f>C39/12</f>
        <v>18321.25</v>
      </c>
      <c r="D41" s="377">
        <f>ROUND(D40/160.33,2)</f>
        <v>145.49</v>
      </c>
      <c r="E41" s="377">
        <f t="shared" ref="E41:O41" si="12">ROUND(E40/160.33,2)</f>
        <v>116.62</v>
      </c>
      <c r="F41" s="377">
        <f t="shared" si="12"/>
        <v>148.47999999999999</v>
      </c>
      <c r="G41" s="377">
        <f t="shared" si="12"/>
        <v>118.24</v>
      </c>
      <c r="H41" s="377">
        <f t="shared" si="12"/>
        <v>150.54</v>
      </c>
      <c r="I41" s="377">
        <f t="shared" si="12"/>
        <v>120.58</v>
      </c>
      <c r="J41" s="377">
        <f t="shared" si="12"/>
        <v>153.53</v>
      </c>
      <c r="K41" s="377">
        <f t="shared" si="12"/>
        <v>122.21</v>
      </c>
      <c r="L41" s="377">
        <f t="shared" si="12"/>
        <v>155.59</v>
      </c>
      <c r="M41" s="377">
        <f t="shared" si="12"/>
        <v>0</v>
      </c>
      <c r="N41" s="377">
        <f t="shared" si="12"/>
        <v>0</v>
      </c>
      <c r="O41" s="377">
        <f t="shared" si="12"/>
        <v>136.02000000000001</v>
      </c>
    </row>
    <row r="42" spans="1:15">
      <c r="A42" s="2155">
        <v>13</v>
      </c>
      <c r="B42" s="342" t="s">
        <v>93</v>
      </c>
      <c r="C42" s="185">
        <v>223681</v>
      </c>
      <c r="D42" s="178">
        <f>ROUND((C42*(1+'Løntabel gældende fra'!$D$7%)),0)</f>
        <v>284792</v>
      </c>
      <c r="E42" s="186">
        <v>228304</v>
      </c>
      <c r="F42" s="187">
        <f>ROUND((E42*(1+'Løntabel gældende fra'!$D$7%)),0)</f>
        <v>290678</v>
      </c>
      <c r="G42" s="185">
        <v>231504</v>
      </c>
      <c r="H42" s="178">
        <f>ROUND((G42*(1+'Løntabel gældende fra'!$D$7%)),0)</f>
        <v>294752</v>
      </c>
      <c r="I42" s="186">
        <v>236129</v>
      </c>
      <c r="J42" s="187">
        <f>ROUND((I42*(1+'Løntabel gældende fra'!$D$7%)),0)</f>
        <v>300640</v>
      </c>
      <c r="K42" s="185">
        <v>239328</v>
      </c>
      <c r="L42" s="178">
        <f>ROUND((K42*(1+'Løntabel gældende fra'!$D$7%)),0)</f>
        <v>304713</v>
      </c>
      <c r="M42" s="382"/>
      <c r="N42" s="360">
        <v>209126.09</v>
      </c>
      <c r="O42" s="192">
        <f>ROUND(N42*(1+'Løntabel gældende fra'!$D$7%),2)</f>
        <v>266260.17</v>
      </c>
    </row>
    <row r="43" spans="1:15">
      <c r="A43" s="2153"/>
      <c r="B43" s="364" t="s">
        <v>206</v>
      </c>
      <c r="C43" s="369"/>
      <c r="D43" s="376">
        <f>ROUND(D42/12,2)</f>
        <v>23732.67</v>
      </c>
      <c r="E43" s="373">
        <f>E42/12</f>
        <v>19025.333333333332</v>
      </c>
      <c r="F43" s="358">
        <f>ROUND(F42/12,2)</f>
        <v>24223.17</v>
      </c>
      <c r="G43" s="369">
        <f>G42/12</f>
        <v>19292</v>
      </c>
      <c r="H43" s="376">
        <f>ROUND(H42/12,2)</f>
        <v>24562.67</v>
      </c>
      <c r="I43" s="373">
        <f>I42/12</f>
        <v>19677.416666666668</v>
      </c>
      <c r="J43" s="358">
        <f>ROUND(J42/12,2)</f>
        <v>25053.33</v>
      </c>
      <c r="K43" s="369">
        <f>K42/12</f>
        <v>19944</v>
      </c>
      <c r="L43" s="376">
        <f>ROUND(L42/12,2)</f>
        <v>25392.75</v>
      </c>
      <c r="M43" s="381"/>
      <c r="N43" s="359"/>
      <c r="O43" s="361">
        <f>ROUND(O42/12,2)</f>
        <v>22188.35</v>
      </c>
    </row>
    <row r="44" spans="1:15" ht="15" thickBot="1">
      <c r="A44" s="2154"/>
      <c r="B44" s="344" t="s">
        <v>201</v>
      </c>
      <c r="C44" s="182">
        <f>C42/12</f>
        <v>18640.083333333332</v>
      </c>
      <c r="D44" s="183">
        <f>ROUND(D43/160.33,2)</f>
        <v>148.02000000000001</v>
      </c>
      <c r="E44" s="374"/>
      <c r="F44" s="183">
        <f t="shared" ref="F44:O44" si="13">ROUND(F43/160.33,2)</f>
        <v>151.08000000000001</v>
      </c>
      <c r="G44" s="183">
        <f t="shared" si="13"/>
        <v>120.33</v>
      </c>
      <c r="H44" s="183">
        <f t="shared" si="13"/>
        <v>153.19999999999999</v>
      </c>
      <c r="I44" s="183">
        <f t="shared" si="13"/>
        <v>122.73</v>
      </c>
      <c r="J44" s="183">
        <f t="shared" si="13"/>
        <v>156.26</v>
      </c>
      <c r="K44" s="183">
        <f t="shared" si="13"/>
        <v>124.39</v>
      </c>
      <c r="L44" s="183">
        <f t="shared" si="13"/>
        <v>158.38</v>
      </c>
      <c r="M44" s="183">
        <f t="shared" si="13"/>
        <v>0</v>
      </c>
      <c r="N44" s="183">
        <f t="shared" si="13"/>
        <v>0</v>
      </c>
      <c r="O44" s="183">
        <f t="shared" si="13"/>
        <v>138.38999999999999</v>
      </c>
    </row>
    <row r="45" spans="1:15">
      <c r="A45" s="2155">
        <v>14</v>
      </c>
      <c r="B45" s="342" t="s">
        <v>93</v>
      </c>
      <c r="C45" s="185">
        <v>227611</v>
      </c>
      <c r="D45" s="178">
        <f>ROUND((C45*(1+'Løntabel gældende fra'!$D$7%)),0)</f>
        <v>289795</v>
      </c>
      <c r="E45" s="186">
        <v>232351</v>
      </c>
      <c r="F45" s="187">
        <f>ROUND((E45*(1+'Løntabel gældende fra'!$D$7%)),0)</f>
        <v>295830</v>
      </c>
      <c r="G45" s="185">
        <v>235632</v>
      </c>
      <c r="H45" s="178">
        <f>ROUND((G45*(1+'Løntabel gældende fra'!$D$7%)),0)</f>
        <v>300008</v>
      </c>
      <c r="I45" s="186">
        <v>240371</v>
      </c>
      <c r="J45" s="187">
        <f>ROUND((I45*(1+'Løntabel gældende fra'!$D$7%)),0)</f>
        <v>306041</v>
      </c>
      <c r="K45" s="185">
        <v>243652</v>
      </c>
      <c r="L45" s="178">
        <f>ROUND((K45*(1+'Løntabel gældende fra'!$D$7%)),0)</f>
        <v>310219</v>
      </c>
      <c r="M45" s="382"/>
      <c r="N45" s="360">
        <v>212809.24</v>
      </c>
      <c r="O45" s="192">
        <f>ROUND(N45*(1+'Løntabel gældende fra'!$D$7%),2)</f>
        <v>270949.58</v>
      </c>
    </row>
    <row r="46" spans="1:15">
      <c r="A46" s="2153"/>
      <c r="B46" s="364" t="s">
        <v>206</v>
      </c>
      <c r="C46" s="369"/>
      <c r="D46" s="376">
        <f>ROUND(D45/12,2)</f>
        <v>24149.58</v>
      </c>
      <c r="E46" s="373">
        <f>E45/12</f>
        <v>19362.583333333332</v>
      </c>
      <c r="F46" s="358">
        <f>ROUND(F45/12,2)</f>
        <v>24652.5</v>
      </c>
      <c r="G46" s="369">
        <f>G45/12</f>
        <v>19636</v>
      </c>
      <c r="H46" s="376">
        <f>ROUND(H45/12,2)</f>
        <v>25000.67</v>
      </c>
      <c r="I46" s="373">
        <f>I45/12</f>
        <v>20030.916666666668</v>
      </c>
      <c r="J46" s="358">
        <f>ROUND(J45/12,2)</f>
        <v>25503.42</v>
      </c>
      <c r="K46" s="369">
        <f>K45/12</f>
        <v>20304.333333333332</v>
      </c>
      <c r="L46" s="376">
        <f>ROUND(L45/12,2)</f>
        <v>25851.58</v>
      </c>
      <c r="M46" s="381"/>
      <c r="N46" s="359"/>
      <c r="O46" s="361">
        <f>ROUND(O45/12,2)</f>
        <v>22579.13</v>
      </c>
    </row>
    <row r="47" spans="1:15" ht="15" thickBot="1">
      <c r="A47" s="2154"/>
      <c r="B47" s="344" t="s">
        <v>201</v>
      </c>
      <c r="C47" s="182">
        <f>C45/12</f>
        <v>18967.583333333332</v>
      </c>
      <c r="D47" s="183">
        <f>ROUND(D46/160.33,2)</f>
        <v>150.62</v>
      </c>
      <c r="E47" s="374"/>
      <c r="F47" s="183">
        <f t="shared" ref="F47:O47" si="14">ROUND(F46/160.33,2)</f>
        <v>153.76</v>
      </c>
      <c r="G47" s="183">
        <f t="shared" si="14"/>
        <v>122.47</v>
      </c>
      <c r="H47" s="183">
        <f t="shared" si="14"/>
        <v>155.93</v>
      </c>
      <c r="I47" s="183">
        <f t="shared" si="14"/>
        <v>124.94</v>
      </c>
      <c r="J47" s="183">
        <f t="shared" si="14"/>
        <v>159.07</v>
      </c>
      <c r="K47" s="183">
        <f t="shared" si="14"/>
        <v>126.64</v>
      </c>
      <c r="L47" s="183">
        <f t="shared" si="14"/>
        <v>161.24</v>
      </c>
      <c r="M47" s="183">
        <f t="shared" si="14"/>
        <v>0</v>
      </c>
      <c r="N47" s="183">
        <f t="shared" si="14"/>
        <v>0</v>
      </c>
      <c r="O47" s="183">
        <f t="shared" si="14"/>
        <v>140.83000000000001</v>
      </c>
    </row>
    <row r="48" spans="1:15">
      <c r="A48" s="2155">
        <v>15</v>
      </c>
      <c r="B48" s="342" t="s">
        <v>93</v>
      </c>
      <c r="C48" s="185">
        <v>231649</v>
      </c>
      <c r="D48" s="178">
        <f>ROUND((C48*(1+'Løntabel gældende fra'!$D$7%)),0)</f>
        <v>294936</v>
      </c>
      <c r="E48" s="186">
        <v>236507</v>
      </c>
      <c r="F48" s="187">
        <f>ROUND((E48*(1+'Løntabel gældende fra'!$D$7%)),0)</f>
        <v>301122</v>
      </c>
      <c r="G48" s="185">
        <v>239870</v>
      </c>
      <c r="H48" s="178">
        <f>ROUND((G48*(1+'Løntabel gældende fra'!$D$7%)),0)</f>
        <v>305403</v>
      </c>
      <c r="I48" s="186">
        <v>244730</v>
      </c>
      <c r="J48" s="187">
        <f>ROUND((I48*(1+'Løntabel gældende fra'!$D$7%)),0)</f>
        <v>311591</v>
      </c>
      <c r="K48" s="185">
        <v>248094</v>
      </c>
      <c r="L48" s="178">
        <f>ROUND((K48*(1+'Løntabel gældende fra'!$D$7%)),0)</f>
        <v>315874</v>
      </c>
      <c r="M48" s="382"/>
      <c r="N48" s="360">
        <v>216591.65</v>
      </c>
      <c r="O48" s="192">
        <f>ROUND(N48*(1+'Løntabel gældende fra'!$D$7%),2)</f>
        <v>275765.36</v>
      </c>
    </row>
    <row r="49" spans="1:15">
      <c r="A49" s="2153"/>
      <c r="B49" s="364" t="s">
        <v>94</v>
      </c>
      <c r="C49" s="369"/>
      <c r="D49" s="376">
        <f>ROUND(D48/12,2)</f>
        <v>24578</v>
      </c>
      <c r="E49" s="373">
        <f>E48/12</f>
        <v>19708.916666666668</v>
      </c>
      <c r="F49" s="358">
        <f>ROUND(F48/12,2)</f>
        <v>25093.5</v>
      </c>
      <c r="G49" s="369">
        <f>G48/12</f>
        <v>19989.166666666668</v>
      </c>
      <c r="H49" s="376">
        <f>ROUND(H48/12,2)</f>
        <v>25450.25</v>
      </c>
      <c r="I49" s="373">
        <f>I48/12</f>
        <v>20394.166666666668</v>
      </c>
      <c r="J49" s="358">
        <f>ROUND(J48/12,2)</f>
        <v>25965.919999999998</v>
      </c>
      <c r="K49" s="369">
        <f>K48/12</f>
        <v>20674.5</v>
      </c>
      <c r="L49" s="376">
        <f>ROUND(L48/12,2)</f>
        <v>26322.83</v>
      </c>
      <c r="M49" s="381"/>
      <c r="N49" s="359"/>
      <c r="O49" s="361">
        <f>ROUND(O48/12,2)</f>
        <v>22980.45</v>
      </c>
    </row>
    <row r="50" spans="1:15" ht="15" thickBot="1">
      <c r="A50" s="2154"/>
      <c r="B50" s="344" t="s">
        <v>201</v>
      </c>
      <c r="C50" s="182">
        <f>C48/12</f>
        <v>19304.083333333332</v>
      </c>
      <c r="D50" s="183">
        <f>ROUND(D49/160.33,2)</f>
        <v>153.30000000000001</v>
      </c>
      <c r="E50" s="374"/>
      <c r="F50" s="183">
        <f t="shared" ref="F50:O50" si="15">ROUND(F49/160.33,2)</f>
        <v>156.51</v>
      </c>
      <c r="G50" s="183">
        <f t="shared" si="15"/>
        <v>124.68</v>
      </c>
      <c r="H50" s="183">
        <f t="shared" si="15"/>
        <v>158.74</v>
      </c>
      <c r="I50" s="183">
        <f t="shared" si="15"/>
        <v>127.2</v>
      </c>
      <c r="J50" s="183">
        <f t="shared" si="15"/>
        <v>161.94999999999999</v>
      </c>
      <c r="K50" s="183">
        <f t="shared" si="15"/>
        <v>128.94999999999999</v>
      </c>
      <c r="L50" s="183">
        <f t="shared" si="15"/>
        <v>164.18</v>
      </c>
      <c r="M50" s="183">
        <f t="shared" si="15"/>
        <v>0</v>
      </c>
      <c r="N50" s="183">
        <f t="shared" si="15"/>
        <v>0</v>
      </c>
      <c r="O50" s="183">
        <f t="shared" si="15"/>
        <v>143.33000000000001</v>
      </c>
    </row>
    <row r="51" spans="1:15">
      <c r="A51" s="2155">
        <v>16</v>
      </c>
      <c r="B51" s="342" t="s">
        <v>93</v>
      </c>
      <c r="C51" s="185">
        <v>234743</v>
      </c>
      <c r="D51" s="178">
        <f>ROUND((C51*(1+'Løntabel gældende fra'!$D$7%)),0)</f>
        <v>298876</v>
      </c>
      <c r="E51" s="186">
        <v>239725</v>
      </c>
      <c r="F51" s="187">
        <f>ROUND((E51*(1+'Løntabel gældende fra'!$D$7%)),0)</f>
        <v>305219</v>
      </c>
      <c r="G51" s="185">
        <v>243175</v>
      </c>
      <c r="H51" s="178">
        <f>ROUND((G51*(1+'Løntabel gældende fra'!$D$7%)),0)</f>
        <v>309611</v>
      </c>
      <c r="I51" s="186">
        <v>248156</v>
      </c>
      <c r="J51" s="187">
        <f>ROUND((I51*(1+'Løntabel gældende fra'!$D$7%)),0)</f>
        <v>315953</v>
      </c>
      <c r="K51" s="185">
        <v>251606</v>
      </c>
      <c r="L51" s="178">
        <f>ROUND((K51*(1+'Løntabel gældende fra'!$D$7%)),0)</f>
        <v>320346</v>
      </c>
      <c r="M51" s="382"/>
      <c r="N51" s="360">
        <v>220480.52</v>
      </c>
      <c r="O51" s="192">
        <f>ROUND(N51*(1+'Løntabel gældende fra'!$D$7%),2)</f>
        <v>280716.68</v>
      </c>
    </row>
    <row r="52" spans="1:15">
      <c r="A52" s="2153"/>
      <c r="B52" s="364" t="s">
        <v>206</v>
      </c>
      <c r="C52" s="369"/>
      <c r="D52" s="376">
        <f>ROUND(D51/12,2)</f>
        <v>24906.33</v>
      </c>
      <c r="E52" s="373">
        <f>E51/12</f>
        <v>19977.083333333332</v>
      </c>
      <c r="F52" s="358">
        <f>ROUND(F51/12,2)</f>
        <v>25434.92</v>
      </c>
      <c r="G52" s="369">
        <f>G51/12</f>
        <v>20264.583333333332</v>
      </c>
      <c r="H52" s="376">
        <f>ROUND(H51/12,2)</f>
        <v>25800.92</v>
      </c>
      <c r="I52" s="373">
        <f>I51/12</f>
        <v>20679.666666666668</v>
      </c>
      <c r="J52" s="358">
        <f>ROUND(J51/12,2)</f>
        <v>26329.42</v>
      </c>
      <c r="K52" s="369">
        <f>K51/12</f>
        <v>20967.166666666668</v>
      </c>
      <c r="L52" s="376">
        <f>ROUND(L51/12,2)</f>
        <v>26695.5</v>
      </c>
      <c r="M52" s="381"/>
      <c r="N52" s="359"/>
      <c r="O52" s="361">
        <f>ROUND(O51/12,2)</f>
        <v>23393.06</v>
      </c>
    </row>
    <row r="53" spans="1:15" ht="15" thickBot="1">
      <c r="A53" s="2154"/>
      <c r="B53" s="344" t="s">
        <v>201</v>
      </c>
      <c r="C53" s="182">
        <f>C51/12</f>
        <v>19561.916666666668</v>
      </c>
      <c r="D53" s="183">
        <f>ROUND(D52/160.33,2)</f>
        <v>155.34</v>
      </c>
      <c r="E53" s="374"/>
      <c r="F53" s="183">
        <f t="shared" ref="F53:O53" si="16">ROUND(F52/160.33,2)</f>
        <v>158.63999999999999</v>
      </c>
      <c r="G53" s="183">
        <f t="shared" si="16"/>
        <v>126.39</v>
      </c>
      <c r="H53" s="183">
        <f t="shared" si="16"/>
        <v>160.91999999999999</v>
      </c>
      <c r="I53" s="183">
        <f t="shared" si="16"/>
        <v>128.97999999999999</v>
      </c>
      <c r="J53" s="183">
        <f t="shared" si="16"/>
        <v>164.22</v>
      </c>
      <c r="K53" s="183">
        <f t="shared" si="16"/>
        <v>130.78</v>
      </c>
      <c r="L53" s="183">
        <f t="shared" si="16"/>
        <v>166.5</v>
      </c>
      <c r="M53" s="183">
        <f t="shared" si="16"/>
        <v>0</v>
      </c>
      <c r="N53" s="183">
        <f t="shared" si="16"/>
        <v>0</v>
      </c>
      <c r="O53" s="183">
        <f t="shared" si="16"/>
        <v>145.91</v>
      </c>
    </row>
    <row r="54" spans="1:15">
      <c r="A54" s="2152">
        <v>17</v>
      </c>
      <c r="B54" s="176" t="s">
        <v>93</v>
      </c>
      <c r="C54" s="177">
        <v>239005</v>
      </c>
      <c r="D54" s="181">
        <f>ROUND((C54*(1+'Løntabel gældende fra'!$D$7%)),0)</f>
        <v>304302</v>
      </c>
      <c r="E54" s="179">
        <v>244114</v>
      </c>
      <c r="F54" s="180">
        <f>ROUND((E54*(1+'Løntabel gældende fra'!$D$7%)),0)</f>
        <v>310807</v>
      </c>
      <c r="G54" s="177">
        <v>247651</v>
      </c>
      <c r="H54" s="181">
        <f>ROUND((G54*(1+'Løntabel gældende fra'!$D$7%)),0)</f>
        <v>315310</v>
      </c>
      <c r="I54" s="179">
        <v>252759</v>
      </c>
      <c r="J54" s="180">
        <f>ROUND((I54*(1+'Løntabel gældende fra'!$D$7%)),0)</f>
        <v>321814</v>
      </c>
      <c r="K54" s="177">
        <v>256294</v>
      </c>
      <c r="L54" s="181">
        <f>ROUND((K54*(1+'Løntabel gældende fra'!$D$7%)),0)</f>
        <v>326315</v>
      </c>
      <c r="M54" s="383"/>
      <c r="N54" s="362">
        <v>224474.06</v>
      </c>
      <c r="O54" s="363">
        <f>ROUND(N54*(1+'Løntabel gældende fra'!$D$7%),2)</f>
        <v>285801.27</v>
      </c>
    </row>
    <row r="55" spans="1:15">
      <c r="A55" s="2153"/>
      <c r="B55" s="364" t="s">
        <v>206</v>
      </c>
      <c r="C55" s="369"/>
      <c r="D55" s="376">
        <f>ROUND(D54/12,2)</f>
        <v>25358.5</v>
      </c>
      <c r="E55" s="373">
        <f>E54/12</f>
        <v>20342.833333333332</v>
      </c>
      <c r="F55" s="358">
        <f>ROUND(F54/12,2)</f>
        <v>25900.58</v>
      </c>
      <c r="G55" s="369">
        <f>G54/12</f>
        <v>20637.583333333332</v>
      </c>
      <c r="H55" s="376">
        <f>ROUND(H54/12,2)</f>
        <v>26275.83</v>
      </c>
      <c r="I55" s="373">
        <f>I54/12</f>
        <v>21063.25</v>
      </c>
      <c r="J55" s="358">
        <f>ROUND(J54/12,2)</f>
        <v>26817.83</v>
      </c>
      <c r="K55" s="369">
        <f>K54/12</f>
        <v>21357.833333333332</v>
      </c>
      <c r="L55" s="376">
        <f>ROUND(L54/12,2)</f>
        <v>27192.92</v>
      </c>
      <c r="M55" s="381"/>
      <c r="N55" s="359"/>
      <c r="O55" s="361">
        <f>ROUND(O54/12,2)</f>
        <v>23816.77</v>
      </c>
    </row>
    <row r="56" spans="1:15" ht="15" thickBot="1">
      <c r="A56" s="2156"/>
      <c r="B56" s="365" t="s">
        <v>201</v>
      </c>
      <c r="C56" s="372">
        <f>C54/12</f>
        <v>19917.083333333332</v>
      </c>
      <c r="D56" s="183">
        <f>ROUND(D55/160.33,2)</f>
        <v>158.16</v>
      </c>
      <c r="E56" s="375"/>
      <c r="F56" s="183">
        <f t="shared" ref="F56:O56" si="17">ROUND(F55/160.33,2)</f>
        <v>161.55000000000001</v>
      </c>
      <c r="G56" s="183">
        <f t="shared" si="17"/>
        <v>128.72</v>
      </c>
      <c r="H56" s="183">
        <f t="shared" si="17"/>
        <v>163.89</v>
      </c>
      <c r="I56" s="183">
        <f t="shared" si="17"/>
        <v>131.37</v>
      </c>
      <c r="J56" s="183">
        <f t="shared" si="17"/>
        <v>167.27</v>
      </c>
      <c r="K56" s="183">
        <f t="shared" si="17"/>
        <v>133.21</v>
      </c>
      <c r="L56" s="183">
        <f t="shared" si="17"/>
        <v>169.61</v>
      </c>
      <c r="M56" s="183">
        <f t="shared" si="17"/>
        <v>0</v>
      </c>
      <c r="N56" s="183">
        <f t="shared" si="17"/>
        <v>0</v>
      </c>
      <c r="O56" s="183">
        <f t="shared" si="17"/>
        <v>148.55000000000001</v>
      </c>
    </row>
    <row r="57" spans="1:15">
      <c r="A57" s="2155">
        <v>18</v>
      </c>
      <c r="B57" s="342" t="s">
        <v>93</v>
      </c>
      <c r="C57" s="185">
        <v>243387</v>
      </c>
      <c r="D57" s="178">
        <f>ROUND((C57*(1+'Løntabel gældende fra'!$D$7%)),0)</f>
        <v>309881</v>
      </c>
      <c r="E57" s="186">
        <v>248626</v>
      </c>
      <c r="F57" s="187">
        <f>ROUND((E57*(1+'Løntabel gældende fra'!$D$7%)),0)</f>
        <v>316552</v>
      </c>
      <c r="G57" s="185">
        <v>252252</v>
      </c>
      <c r="H57" s="178">
        <f>ROUND((G57*(1+'Løntabel gældende fra'!$D$7%)),0)</f>
        <v>321168</v>
      </c>
      <c r="I57" s="186">
        <v>257490</v>
      </c>
      <c r="J57" s="187">
        <f>ROUND((I57*(1+'Løntabel gældende fra'!$D$7%)),0)</f>
        <v>327837</v>
      </c>
      <c r="K57" s="185">
        <v>261115</v>
      </c>
      <c r="L57" s="178">
        <f>ROUND((K57*(1+'Løntabel gældende fra'!$D$7%)),0)</f>
        <v>332453</v>
      </c>
      <c r="M57" s="382"/>
      <c r="N57" s="360">
        <v>228579.5</v>
      </c>
      <c r="O57" s="192">
        <f>ROUND(N57*(1+'Løntabel gældende fra'!$D$7%),2)</f>
        <v>291028.33</v>
      </c>
    </row>
    <row r="58" spans="1:15">
      <c r="A58" s="2153"/>
      <c r="B58" s="364" t="s">
        <v>94</v>
      </c>
      <c r="C58" s="369"/>
      <c r="D58" s="376">
        <f>ROUND(D57/12,2)</f>
        <v>25823.42</v>
      </c>
      <c r="E58" s="373">
        <f>E57/12</f>
        <v>20718.833333333332</v>
      </c>
      <c r="F58" s="358">
        <f>ROUND(F57/12,2)</f>
        <v>26379.33</v>
      </c>
      <c r="G58" s="369">
        <f>G57/12</f>
        <v>21021</v>
      </c>
      <c r="H58" s="376">
        <f>ROUND(H57/12,2)</f>
        <v>26764</v>
      </c>
      <c r="I58" s="373">
        <f>I57/12</f>
        <v>21457.5</v>
      </c>
      <c r="J58" s="358">
        <f>ROUND(J57/12,2)</f>
        <v>27319.75</v>
      </c>
      <c r="K58" s="369">
        <f>K57/12</f>
        <v>21759.583333333332</v>
      </c>
      <c r="L58" s="376">
        <f>ROUND(L57/12,2)</f>
        <v>27704.42</v>
      </c>
      <c r="M58" s="381"/>
      <c r="N58" s="359"/>
      <c r="O58" s="361">
        <f>ROUND(O57/12,2)</f>
        <v>24252.36</v>
      </c>
    </row>
    <row r="59" spans="1:15" ht="15" thickBot="1">
      <c r="A59" s="2154"/>
      <c r="B59" s="344" t="s">
        <v>201</v>
      </c>
      <c r="C59" s="182">
        <f>C57/12</f>
        <v>20282.25</v>
      </c>
      <c r="D59" s="183">
        <f>ROUND(D58/160.33,2)</f>
        <v>161.06</v>
      </c>
      <c r="E59" s="374"/>
      <c r="F59" s="183">
        <f t="shared" ref="F59:O59" si="18">ROUND(F58/160.33,2)</f>
        <v>164.53</v>
      </c>
      <c r="G59" s="183">
        <f t="shared" si="18"/>
        <v>131.11000000000001</v>
      </c>
      <c r="H59" s="183">
        <f t="shared" si="18"/>
        <v>166.93</v>
      </c>
      <c r="I59" s="183">
        <f t="shared" si="18"/>
        <v>133.83000000000001</v>
      </c>
      <c r="J59" s="183">
        <f t="shared" si="18"/>
        <v>170.4</v>
      </c>
      <c r="K59" s="183">
        <f t="shared" si="18"/>
        <v>135.72</v>
      </c>
      <c r="L59" s="183">
        <f t="shared" si="18"/>
        <v>172.8</v>
      </c>
      <c r="M59" s="183">
        <f t="shared" si="18"/>
        <v>0</v>
      </c>
      <c r="N59" s="183">
        <f t="shared" si="18"/>
        <v>0</v>
      </c>
      <c r="O59" s="183">
        <f t="shared" si="18"/>
        <v>151.27000000000001</v>
      </c>
    </row>
    <row r="60" spans="1:15">
      <c r="A60" s="2152">
        <v>19</v>
      </c>
      <c r="B60" s="176" t="s">
        <v>93</v>
      </c>
      <c r="C60" s="177">
        <v>246657</v>
      </c>
      <c r="D60" s="181">
        <f>ROUND((C60*(1+'Løntabel gældende fra'!$D$7%)),0)</f>
        <v>314045</v>
      </c>
      <c r="E60" s="179">
        <v>252029</v>
      </c>
      <c r="F60" s="180">
        <f>ROUND((E60*(1+'Løntabel gældende fra'!$D$7%)),0)</f>
        <v>320884</v>
      </c>
      <c r="G60" s="177">
        <v>255746</v>
      </c>
      <c r="H60" s="181">
        <f>ROUND((G60*(1+'Løntabel gældende fra'!$D$7%)),0)</f>
        <v>325617</v>
      </c>
      <c r="I60" s="179">
        <v>261119</v>
      </c>
      <c r="J60" s="180">
        <f>ROUND((I60*(1+'Løntabel gældende fra'!$D$7%)),0)</f>
        <v>332458</v>
      </c>
      <c r="K60" s="177">
        <v>264839</v>
      </c>
      <c r="L60" s="181">
        <f>ROUND((K60*(1+'Løntabel gældende fra'!$D$7%)),0)</f>
        <v>337194</v>
      </c>
      <c r="M60" s="383"/>
      <c r="N60" s="362">
        <v>232796.81</v>
      </c>
      <c r="O60" s="363">
        <f>ROUND(N60*(1+'Løntabel gældende fra'!$D$7%),2)</f>
        <v>296397.83</v>
      </c>
    </row>
    <row r="61" spans="1:15">
      <c r="A61" s="2153"/>
      <c r="B61" s="364" t="s">
        <v>206</v>
      </c>
      <c r="C61" s="369"/>
      <c r="D61" s="376">
        <f>ROUND(D60/12,2)</f>
        <v>26170.42</v>
      </c>
      <c r="E61" s="373">
        <f>E60/12</f>
        <v>21002.416666666668</v>
      </c>
      <c r="F61" s="358">
        <f>ROUND(F60/12,2)</f>
        <v>26740.33</v>
      </c>
      <c r="G61" s="369">
        <f>G60/12</f>
        <v>21312.166666666668</v>
      </c>
      <c r="H61" s="376">
        <f>ROUND(H60/12,2)</f>
        <v>27134.75</v>
      </c>
      <c r="I61" s="373">
        <f>I60/12</f>
        <v>21759.916666666668</v>
      </c>
      <c r="J61" s="358">
        <f>ROUND(J60/12,2)</f>
        <v>27704.83</v>
      </c>
      <c r="K61" s="369">
        <f>K60/12</f>
        <v>22069.916666666668</v>
      </c>
      <c r="L61" s="376">
        <f>ROUND(L60/12,2)</f>
        <v>28099.5</v>
      </c>
      <c r="M61" s="381"/>
      <c r="N61" s="359"/>
      <c r="O61" s="361">
        <f>ROUND(O60/12,2)</f>
        <v>24699.82</v>
      </c>
    </row>
    <row r="62" spans="1:15" ht="15" thickBot="1">
      <c r="A62" s="2156"/>
      <c r="B62" s="365" t="s">
        <v>201</v>
      </c>
      <c r="C62" s="372">
        <f>C60/12</f>
        <v>20554.75</v>
      </c>
      <c r="D62" s="183">
        <f>ROUND(D61/160.33,2)</f>
        <v>163.22999999999999</v>
      </c>
      <c r="E62" s="375"/>
      <c r="F62" s="183">
        <f t="shared" ref="F62:O62" si="19">ROUND(F61/160.33,2)</f>
        <v>166.78</v>
      </c>
      <c r="G62" s="183">
        <f t="shared" si="19"/>
        <v>132.93</v>
      </c>
      <c r="H62" s="183">
        <f t="shared" si="19"/>
        <v>169.24</v>
      </c>
      <c r="I62" s="183">
        <f t="shared" si="19"/>
        <v>135.72</v>
      </c>
      <c r="J62" s="183">
        <f t="shared" si="19"/>
        <v>172.8</v>
      </c>
      <c r="K62" s="183">
        <f t="shared" si="19"/>
        <v>137.65</v>
      </c>
      <c r="L62" s="183">
        <f t="shared" si="19"/>
        <v>175.26</v>
      </c>
      <c r="M62" s="183">
        <f t="shared" si="19"/>
        <v>0</v>
      </c>
      <c r="N62" s="183">
        <f t="shared" si="19"/>
        <v>0</v>
      </c>
      <c r="O62" s="183">
        <f t="shared" si="19"/>
        <v>154.06</v>
      </c>
    </row>
    <row r="63" spans="1:15">
      <c r="A63" s="2155">
        <v>20</v>
      </c>
      <c r="B63" s="342" t="s">
        <v>93</v>
      </c>
      <c r="C63" s="185">
        <v>250053</v>
      </c>
      <c r="D63" s="178">
        <f>ROUND((C63*(1+'Løntabel gældende fra'!$D$7%)),0)</f>
        <v>318368</v>
      </c>
      <c r="E63" s="186">
        <v>255560</v>
      </c>
      <c r="F63" s="187">
        <f>ROUND((E63*(1+'Løntabel gældende fra'!$D$7%)),0)</f>
        <v>325380</v>
      </c>
      <c r="G63" s="185">
        <v>259374</v>
      </c>
      <c r="H63" s="178">
        <f>ROUND((G63*(1+'Løntabel gældende fra'!$D$7%)),0)</f>
        <v>330236</v>
      </c>
      <c r="I63" s="186">
        <v>264882</v>
      </c>
      <c r="J63" s="187">
        <f>ROUND((I63*(1+'Løntabel gældende fra'!$D$7%)),0)</f>
        <v>337249</v>
      </c>
      <c r="K63" s="185">
        <v>268694</v>
      </c>
      <c r="L63" s="178">
        <f>ROUND((K63*(1+'Løntabel gældende fra'!$D$7%)),0)</f>
        <v>342102</v>
      </c>
      <c r="M63" s="382"/>
      <c r="N63" s="360">
        <v>237129.61</v>
      </c>
      <c r="O63" s="192">
        <f>ROUND(N63*(1+'Løntabel gældende fra'!$D$7%),2)</f>
        <v>301914.37</v>
      </c>
    </row>
    <row r="64" spans="1:15">
      <c r="A64" s="2153"/>
      <c r="B64" s="364" t="s">
        <v>94</v>
      </c>
      <c r="C64" s="369"/>
      <c r="D64" s="376">
        <f>ROUND(D63/12,2)</f>
        <v>26530.67</v>
      </c>
      <c r="E64" s="373">
        <f>E63/12</f>
        <v>21296.666666666668</v>
      </c>
      <c r="F64" s="358">
        <f>ROUND(F63/12,2)</f>
        <v>27115</v>
      </c>
      <c r="G64" s="369">
        <f>G63/12</f>
        <v>21614.5</v>
      </c>
      <c r="H64" s="376">
        <f>ROUND(H63/12,2)</f>
        <v>27519.67</v>
      </c>
      <c r="I64" s="373">
        <f>I63/12</f>
        <v>22073.5</v>
      </c>
      <c r="J64" s="358">
        <f>ROUND(J63/12,2)</f>
        <v>28104.080000000002</v>
      </c>
      <c r="K64" s="369">
        <f>K63/12</f>
        <v>22391.166666666668</v>
      </c>
      <c r="L64" s="376">
        <f>ROUND(L63/12,2)</f>
        <v>28508.5</v>
      </c>
      <c r="M64" s="381"/>
      <c r="N64" s="359"/>
      <c r="O64" s="361">
        <f>ROUND(O63/12,2)</f>
        <v>25159.53</v>
      </c>
    </row>
    <row r="65" spans="1:15" ht="15" thickBot="1">
      <c r="A65" s="2154"/>
      <c r="B65" s="344" t="s">
        <v>201</v>
      </c>
      <c r="C65" s="182">
        <f>C63/12</f>
        <v>20837.75</v>
      </c>
      <c r="D65" s="183">
        <f>ROUND(D64/160.33,2)</f>
        <v>165.48</v>
      </c>
      <c r="E65" s="374"/>
      <c r="F65" s="183">
        <f t="shared" ref="F65:O65" si="20">ROUND(F64/160.33,2)</f>
        <v>169.12</v>
      </c>
      <c r="G65" s="183">
        <f t="shared" si="20"/>
        <v>134.81</v>
      </c>
      <c r="H65" s="183">
        <f t="shared" si="20"/>
        <v>171.64</v>
      </c>
      <c r="I65" s="183">
        <f t="shared" si="20"/>
        <v>137.68</v>
      </c>
      <c r="J65" s="183">
        <f t="shared" si="20"/>
        <v>175.29</v>
      </c>
      <c r="K65" s="183">
        <f t="shared" si="20"/>
        <v>139.66</v>
      </c>
      <c r="L65" s="183">
        <f t="shared" si="20"/>
        <v>177.81</v>
      </c>
      <c r="M65" s="183">
        <f t="shared" si="20"/>
        <v>0</v>
      </c>
      <c r="N65" s="183">
        <f t="shared" si="20"/>
        <v>0</v>
      </c>
      <c r="O65" s="183">
        <f t="shared" si="20"/>
        <v>156.91999999999999</v>
      </c>
    </row>
    <row r="66" spans="1:15">
      <c r="A66" s="2152">
        <v>21</v>
      </c>
      <c r="B66" s="176" t="s">
        <v>93</v>
      </c>
      <c r="C66" s="177">
        <v>254192</v>
      </c>
      <c r="D66" s="181">
        <f>ROUND((C66*(1+'Løntabel gældende fra'!$D$7%)),0)</f>
        <v>323638</v>
      </c>
      <c r="E66" s="179">
        <v>259841</v>
      </c>
      <c r="F66" s="180">
        <f>ROUND((E66*(1+'Løntabel gældende fra'!$D$7%)),0)</f>
        <v>330831</v>
      </c>
      <c r="G66" s="177">
        <v>263752</v>
      </c>
      <c r="H66" s="181">
        <f>ROUND((G66*(1+'Løntabel gældende fra'!$D$7%)),0)</f>
        <v>335810</v>
      </c>
      <c r="I66" s="179">
        <v>269401</v>
      </c>
      <c r="J66" s="180">
        <f>ROUND((I66*(1+'Løntabel gældende fra'!$D$7%)),0)</f>
        <v>343002</v>
      </c>
      <c r="K66" s="177">
        <v>273312</v>
      </c>
      <c r="L66" s="181">
        <f>ROUND((K66*(1+'Løntabel gældende fra'!$D$7%)),0)</f>
        <v>347982</v>
      </c>
      <c r="M66" s="383"/>
      <c r="N66" s="362">
        <v>241583.32</v>
      </c>
      <c r="O66" s="363">
        <f>ROUND(N66*(1+'Løntabel gældende fra'!$D$7%),2)</f>
        <v>307584.84999999998</v>
      </c>
    </row>
    <row r="67" spans="1:15">
      <c r="A67" s="2153"/>
      <c r="B67" s="364" t="s">
        <v>206</v>
      </c>
      <c r="C67" s="369"/>
      <c r="D67" s="376">
        <f>ROUND(D66/12,2)</f>
        <v>26969.83</v>
      </c>
      <c r="E67" s="373">
        <f>E66/12</f>
        <v>21653.416666666668</v>
      </c>
      <c r="F67" s="358">
        <f>ROUND(F66/12,2)</f>
        <v>27569.25</v>
      </c>
      <c r="G67" s="369">
        <f>G66/12</f>
        <v>21979.333333333332</v>
      </c>
      <c r="H67" s="376">
        <f>ROUND(H66/12,2)</f>
        <v>27984.17</v>
      </c>
      <c r="I67" s="373">
        <f>I66/12</f>
        <v>22450.083333333332</v>
      </c>
      <c r="J67" s="358">
        <f>ROUND(J66/12,2)</f>
        <v>28583.5</v>
      </c>
      <c r="K67" s="369">
        <f>K66/12</f>
        <v>22776</v>
      </c>
      <c r="L67" s="376">
        <f>ROUND(L66/12,2)</f>
        <v>28998.5</v>
      </c>
      <c r="M67" s="381"/>
      <c r="N67" s="359"/>
      <c r="O67" s="361">
        <f>ROUND(O66/12,2)</f>
        <v>25632.07</v>
      </c>
    </row>
    <row r="68" spans="1:15" ht="15" thickBot="1">
      <c r="A68" s="2156"/>
      <c r="B68" s="365" t="s">
        <v>201</v>
      </c>
      <c r="C68" s="372">
        <f>C66/12</f>
        <v>21182.666666666668</v>
      </c>
      <c r="D68" s="183">
        <f>ROUND(D67/160.33,2)</f>
        <v>168.21</v>
      </c>
      <c r="E68" s="375"/>
      <c r="F68" s="183">
        <f t="shared" ref="F68:O68" si="21">ROUND(F67/160.33,2)</f>
        <v>171.95</v>
      </c>
      <c r="G68" s="183">
        <f t="shared" si="21"/>
        <v>137.09</v>
      </c>
      <c r="H68" s="183">
        <f t="shared" si="21"/>
        <v>174.54</v>
      </c>
      <c r="I68" s="183">
        <f t="shared" si="21"/>
        <v>140.02000000000001</v>
      </c>
      <c r="J68" s="183">
        <f t="shared" si="21"/>
        <v>178.28</v>
      </c>
      <c r="K68" s="183">
        <f t="shared" si="21"/>
        <v>142.06</v>
      </c>
      <c r="L68" s="183">
        <f t="shared" si="21"/>
        <v>180.87</v>
      </c>
      <c r="M68" s="183">
        <f t="shared" si="21"/>
        <v>0</v>
      </c>
      <c r="N68" s="183">
        <f t="shared" si="21"/>
        <v>0</v>
      </c>
      <c r="O68" s="183">
        <f t="shared" si="21"/>
        <v>159.87</v>
      </c>
    </row>
    <row r="69" spans="1:15">
      <c r="A69" s="2155">
        <v>22</v>
      </c>
      <c r="B69" s="189" t="s">
        <v>93</v>
      </c>
      <c r="C69" s="185">
        <v>258027</v>
      </c>
      <c r="D69" s="178">
        <f>ROUND((C69*(1+'Løntabel gældende fra'!$D$7%)),0)</f>
        <v>328521</v>
      </c>
      <c r="E69" s="186">
        <v>263676</v>
      </c>
      <c r="F69" s="187">
        <f>ROUND((E69*(1+'Løntabel gældende fra'!$D$7%)),0)</f>
        <v>335713</v>
      </c>
      <c r="G69" s="185">
        <v>267587</v>
      </c>
      <c r="H69" s="178">
        <f>ROUND((G69*(1+'Løntabel gældende fra'!$D$7%)),0)</f>
        <v>340693</v>
      </c>
      <c r="I69" s="186">
        <v>273236</v>
      </c>
      <c r="J69" s="187">
        <f>ROUND((I69*(1+'Løntabel gældende fra'!$D$7%)),0)</f>
        <v>347885</v>
      </c>
      <c r="K69" s="185">
        <v>277147</v>
      </c>
      <c r="L69" s="178">
        <f>ROUND((K69*(1+'Løntabel gældende fra'!$D$7%)),0)</f>
        <v>352865</v>
      </c>
      <c r="M69" s="382"/>
      <c r="N69" s="360">
        <v>246033.33</v>
      </c>
      <c r="O69" s="192">
        <f>ROUND(N69*(1+'Løntabel gældende fra'!$D$7%),2)</f>
        <v>313250.62</v>
      </c>
    </row>
    <row r="70" spans="1:15">
      <c r="A70" s="2153"/>
      <c r="B70" s="366" t="s">
        <v>206</v>
      </c>
      <c r="C70" s="369"/>
      <c r="D70" s="376">
        <f>ROUND(D69/12,2)</f>
        <v>27376.75</v>
      </c>
      <c r="E70" s="373">
        <f>E69/12</f>
        <v>21973</v>
      </c>
      <c r="F70" s="358">
        <f>ROUND(F69/12,2)</f>
        <v>27976.080000000002</v>
      </c>
      <c r="G70" s="369">
        <f>G69/12</f>
        <v>22298.916666666668</v>
      </c>
      <c r="H70" s="376">
        <f>ROUND(H69/12,2)</f>
        <v>28391.08</v>
      </c>
      <c r="I70" s="373">
        <f>I69/12</f>
        <v>22769.666666666668</v>
      </c>
      <c r="J70" s="358">
        <f>ROUND(J69/12,2)</f>
        <v>28990.42</v>
      </c>
      <c r="K70" s="369">
        <f>K69/12</f>
        <v>23095.583333333332</v>
      </c>
      <c r="L70" s="376">
        <f>ROUND(L69/12,2)</f>
        <v>29405.42</v>
      </c>
      <c r="M70" s="381"/>
      <c r="N70" s="359"/>
      <c r="O70" s="361">
        <f>ROUND(O69/12,2)</f>
        <v>26104.22</v>
      </c>
    </row>
    <row r="71" spans="1:15" ht="15" thickBot="1">
      <c r="A71" s="2154"/>
      <c r="B71" s="367" t="s">
        <v>201</v>
      </c>
      <c r="C71" s="182">
        <v>262137</v>
      </c>
      <c r="D71" s="183">
        <f>ROUND(D70/160.33,2)</f>
        <v>170.75</v>
      </c>
      <c r="E71" s="374"/>
      <c r="F71" s="183">
        <f t="shared" ref="F71:O71" si="22">ROUND(F70/160.33,2)</f>
        <v>174.49</v>
      </c>
      <c r="G71" s="183">
        <f t="shared" si="22"/>
        <v>139.08000000000001</v>
      </c>
      <c r="H71" s="183">
        <f t="shared" si="22"/>
        <v>177.08</v>
      </c>
      <c r="I71" s="183">
        <f t="shared" si="22"/>
        <v>142.02000000000001</v>
      </c>
      <c r="J71" s="183">
        <f t="shared" si="22"/>
        <v>180.82</v>
      </c>
      <c r="K71" s="183">
        <f t="shared" si="22"/>
        <v>144.05000000000001</v>
      </c>
      <c r="L71" s="183">
        <f t="shared" si="22"/>
        <v>183.41</v>
      </c>
      <c r="M71" s="183">
        <f t="shared" si="22"/>
        <v>0</v>
      </c>
      <c r="N71" s="183">
        <f t="shared" si="22"/>
        <v>0</v>
      </c>
      <c r="O71" s="183">
        <f t="shared" si="22"/>
        <v>162.82</v>
      </c>
    </row>
    <row r="72" spans="1:15">
      <c r="A72" s="2152">
        <v>23</v>
      </c>
      <c r="B72" s="188" t="s">
        <v>93</v>
      </c>
      <c r="C72" s="177">
        <v>262137</v>
      </c>
      <c r="D72" s="181">
        <f>ROUND((C72*(1+'Løntabel gældende fra'!$D$7%)),0)</f>
        <v>333754</v>
      </c>
      <c r="E72" s="179">
        <v>267629</v>
      </c>
      <c r="F72" s="180">
        <f>ROUND((E72*(1+'Løntabel gældende fra'!$D$7%)),0)</f>
        <v>340746</v>
      </c>
      <c r="G72" s="177">
        <v>271434</v>
      </c>
      <c r="H72" s="181">
        <f>ROUND((G72*(1+'Løntabel gældende fra'!$D$7%)),0)</f>
        <v>345591</v>
      </c>
      <c r="I72" s="179">
        <v>276928</v>
      </c>
      <c r="J72" s="180">
        <f>ROUND((I72*(1+'Løntabel gældende fra'!$D$7%)),0)</f>
        <v>352586</v>
      </c>
      <c r="K72" s="177">
        <v>280730</v>
      </c>
      <c r="L72" s="181">
        <f>ROUND((K72*(1+'Løntabel gældende fra'!$D$7%)),0)</f>
        <v>357427</v>
      </c>
      <c r="M72" s="383"/>
      <c r="N72" s="362">
        <v>250472.55</v>
      </c>
      <c r="O72" s="363">
        <f>ROUND(N72*(1+'Løntabel gældende fra'!$D$7%),2)</f>
        <v>318902.65000000002</v>
      </c>
    </row>
    <row r="73" spans="1:15">
      <c r="A73" s="2153"/>
      <c r="B73" s="366" t="s">
        <v>206</v>
      </c>
      <c r="C73" s="369"/>
      <c r="D73" s="376">
        <f>ROUND(D72/12,2)</f>
        <v>27812.83</v>
      </c>
      <c r="E73" s="373">
        <f>E72/12</f>
        <v>22302.416666666668</v>
      </c>
      <c r="F73" s="358">
        <f>ROUND(F72/12,2)</f>
        <v>28395.5</v>
      </c>
      <c r="G73" s="369">
        <f>G72/12</f>
        <v>22619.5</v>
      </c>
      <c r="H73" s="376">
        <f>ROUND(H72/12,2)</f>
        <v>28799.25</v>
      </c>
      <c r="I73" s="373">
        <f>I72/12</f>
        <v>23077.333333333332</v>
      </c>
      <c r="J73" s="358">
        <f>ROUND(J72/12,2)</f>
        <v>29382.17</v>
      </c>
      <c r="K73" s="369">
        <f>K72/12</f>
        <v>23394.166666666668</v>
      </c>
      <c r="L73" s="376">
        <f>ROUND(L72/12,2)</f>
        <v>29785.58</v>
      </c>
      <c r="M73" s="381"/>
      <c r="N73" s="359"/>
      <c r="O73" s="361">
        <f>ROUND(O72/12,2)</f>
        <v>26575.22</v>
      </c>
    </row>
    <row r="74" spans="1:15" ht="15" thickBot="1">
      <c r="A74" s="2156"/>
      <c r="B74" s="368" t="s">
        <v>201</v>
      </c>
      <c r="C74" s="372">
        <f>C72/12</f>
        <v>21844.75</v>
      </c>
      <c r="D74" s="183">
        <f>ROUND(D73/160.33,2)</f>
        <v>173.47</v>
      </c>
      <c r="E74" s="375"/>
      <c r="F74" s="183">
        <f t="shared" ref="F74:O74" si="23">ROUND(F73/160.33,2)</f>
        <v>177.11</v>
      </c>
      <c r="G74" s="183">
        <f t="shared" si="23"/>
        <v>141.08000000000001</v>
      </c>
      <c r="H74" s="183">
        <f t="shared" si="23"/>
        <v>179.62</v>
      </c>
      <c r="I74" s="183">
        <f t="shared" si="23"/>
        <v>143.94</v>
      </c>
      <c r="J74" s="183">
        <f t="shared" si="23"/>
        <v>183.26</v>
      </c>
      <c r="K74" s="183">
        <f t="shared" si="23"/>
        <v>145.91</v>
      </c>
      <c r="L74" s="183">
        <f t="shared" si="23"/>
        <v>185.78</v>
      </c>
      <c r="M74" s="183">
        <f t="shared" si="23"/>
        <v>0</v>
      </c>
      <c r="N74" s="183">
        <f t="shared" si="23"/>
        <v>0</v>
      </c>
      <c r="O74" s="183">
        <f t="shared" si="23"/>
        <v>165.75</v>
      </c>
    </row>
    <row r="75" spans="1:15">
      <c r="A75" s="2155">
        <v>24</v>
      </c>
      <c r="B75" s="189" t="s">
        <v>93</v>
      </c>
      <c r="C75" s="185">
        <v>266372</v>
      </c>
      <c r="D75" s="178">
        <f>ROUND((C75*(1+'Løntabel gældende fra'!$D$7%)),0)</f>
        <v>339146</v>
      </c>
      <c r="E75" s="186">
        <v>271710</v>
      </c>
      <c r="F75" s="187">
        <f>ROUND((E75*(1+'Løntabel gældende fra'!$D$7%)),0)</f>
        <v>345942</v>
      </c>
      <c r="G75" s="185">
        <v>275406</v>
      </c>
      <c r="H75" s="178">
        <f>ROUND((G75*(1+'Løntabel gældende fra'!$D$7%)),0)</f>
        <v>350648</v>
      </c>
      <c r="I75" s="186">
        <v>280745</v>
      </c>
      <c r="J75" s="187">
        <f>ROUND((I75*(1+'Løntabel gældende fra'!$D$7%)),0)</f>
        <v>357446</v>
      </c>
      <c r="K75" s="185">
        <v>284441</v>
      </c>
      <c r="L75" s="178">
        <f>ROUND((K75*(1+'Løntabel gældende fra'!$D$7%)),0)</f>
        <v>362151</v>
      </c>
      <c r="M75" s="382"/>
      <c r="N75" s="360">
        <v>255037.97</v>
      </c>
      <c r="O75" s="192">
        <f>ROUND(N75*(1+'Løntabel gældende fra'!$D$7%),2)</f>
        <v>324715.36</v>
      </c>
    </row>
    <row r="76" spans="1:15">
      <c r="A76" s="2153"/>
      <c r="B76" s="366" t="s">
        <v>206</v>
      </c>
      <c r="C76" s="369"/>
      <c r="D76" s="376">
        <f>ROUND(D75/12,2)</f>
        <v>28262.17</v>
      </c>
      <c r="E76" s="373">
        <f>E75/12</f>
        <v>22642.5</v>
      </c>
      <c r="F76" s="358">
        <f>ROUND(F75/12,2)</f>
        <v>28828.5</v>
      </c>
      <c r="G76" s="369">
        <f>G75/12</f>
        <v>22950.5</v>
      </c>
      <c r="H76" s="376">
        <f>ROUND(H75/12,2)</f>
        <v>29220.67</v>
      </c>
      <c r="I76" s="373">
        <f>I75/12</f>
        <v>23395.416666666668</v>
      </c>
      <c r="J76" s="358">
        <f>ROUND(J75/12,2)</f>
        <v>29787.17</v>
      </c>
      <c r="K76" s="369">
        <f>K75/12</f>
        <v>23703.416666666668</v>
      </c>
      <c r="L76" s="376">
        <f>ROUND(L75/12,2)</f>
        <v>30179.25</v>
      </c>
      <c r="M76" s="381"/>
      <c r="N76" s="359"/>
      <c r="O76" s="361">
        <f>ROUND(O75/12,2)</f>
        <v>27059.61</v>
      </c>
    </row>
    <row r="77" spans="1:15" ht="15" thickBot="1">
      <c r="A77" s="2154"/>
      <c r="B77" s="367" t="s">
        <v>201</v>
      </c>
      <c r="C77" s="182">
        <f>C75/12</f>
        <v>22197.666666666668</v>
      </c>
      <c r="D77" s="183">
        <f>ROUND(D76/160.33,2)</f>
        <v>176.27</v>
      </c>
      <c r="E77" s="374"/>
      <c r="F77" s="183">
        <f t="shared" ref="F77:O77" si="24">ROUND(F76/160.33,2)</f>
        <v>179.81</v>
      </c>
      <c r="G77" s="183">
        <f t="shared" si="24"/>
        <v>143.15</v>
      </c>
      <c r="H77" s="183">
        <f t="shared" si="24"/>
        <v>182.25</v>
      </c>
      <c r="I77" s="183">
        <f t="shared" si="24"/>
        <v>145.91999999999999</v>
      </c>
      <c r="J77" s="183">
        <f t="shared" si="24"/>
        <v>185.79</v>
      </c>
      <c r="K77" s="183">
        <f t="shared" si="24"/>
        <v>147.84</v>
      </c>
      <c r="L77" s="183">
        <f t="shared" si="24"/>
        <v>188.23</v>
      </c>
      <c r="M77" s="183">
        <f t="shared" si="24"/>
        <v>0</v>
      </c>
      <c r="N77" s="183">
        <f t="shared" si="24"/>
        <v>0</v>
      </c>
      <c r="O77" s="183">
        <f t="shared" si="24"/>
        <v>168.77</v>
      </c>
    </row>
    <row r="78" spans="1:15">
      <c r="A78" s="2152">
        <v>25</v>
      </c>
      <c r="B78" s="188" t="s">
        <v>93</v>
      </c>
      <c r="C78" s="177">
        <v>270701</v>
      </c>
      <c r="D78" s="181">
        <f>ROUND((C78*(1+'Løntabel gældende fra'!$D$7%)),0)</f>
        <v>344658</v>
      </c>
      <c r="E78" s="179">
        <v>275873</v>
      </c>
      <c r="F78" s="180">
        <f>ROUND((E78*(1+'Løntabel gældende fra'!$D$7%)),0)</f>
        <v>351243</v>
      </c>
      <c r="G78" s="177">
        <v>279454</v>
      </c>
      <c r="H78" s="181">
        <f>ROUND((G78*(1+'Løntabel gældende fra'!$D$7%)),0)</f>
        <v>355802</v>
      </c>
      <c r="I78" s="179">
        <v>284626</v>
      </c>
      <c r="J78" s="180">
        <f>ROUND((I78*(1+'Løntabel gældende fra'!$D$7%)),0)</f>
        <v>362387</v>
      </c>
      <c r="K78" s="177">
        <v>288206</v>
      </c>
      <c r="L78" s="181">
        <f>ROUND((K78*(1+'Løntabel gældende fra'!$D$7%)),0)</f>
        <v>366945</v>
      </c>
      <c r="M78" s="383"/>
      <c r="N78" s="362">
        <v>259721.7</v>
      </c>
      <c r="O78" s="363">
        <f>ROUND(N78*(1+'Løntabel gældende fra'!$D$7%),2)</f>
        <v>330678.71000000002</v>
      </c>
    </row>
    <row r="79" spans="1:15">
      <c r="A79" s="2153"/>
      <c r="B79" s="366" t="s">
        <v>206</v>
      </c>
      <c r="C79" s="369"/>
      <c r="D79" s="376">
        <f>ROUND(D78/12,2)</f>
        <v>28721.5</v>
      </c>
      <c r="E79" s="373">
        <f>E78/12</f>
        <v>22989.416666666668</v>
      </c>
      <c r="F79" s="358">
        <f>ROUND(F78/12,2)</f>
        <v>29270.25</v>
      </c>
      <c r="G79" s="369">
        <f>G78/12</f>
        <v>23287.833333333332</v>
      </c>
      <c r="H79" s="376">
        <f>ROUND(H78/12,2)</f>
        <v>29650.17</v>
      </c>
      <c r="I79" s="373">
        <f>I78/12</f>
        <v>23718.833333333332</v>
      </c>
      <c r="J79" s="358">
        <f>ROUND(J78/12,2)</f>
        <v>30198.92</v>
      </c>
      <c r="K79" s="369">
        <f>K78/12</f>
        <v>24017.166666666668</v>
      </c>
      <c r="L79" s="376">
        <f>ROUND(L78/12,2)</f>
        <v>30578.75</v>
      </c>
      <c r="M79" s="381"/>
      <c r="N79" s="359"/>
      <c r="O79" s="361">
        <f>ROUND(O78/12,2)</f>
        <v>27556.560000000001</v>
      </c>
    </row>
    <row r="80" spans="1:15" ht="15" thickBot="1">
      <c r="A80" s="2156"/>
      <c r="B80" s="368" t="s">
        <v>201</v>
      </c>
      <c r="C80" s="372">
        <f>C78/12</f>
        <v>22558.416666666668</v>
      </c>
      <c r="D80" s="183">
        <f>ROUND(D79/160.33,2)</f>
        <v>179.14</v>
      </c>
      <c r="E80" s="375"/>
      <c r="F80" s="183">
        <f t="shared" ref="F80:O80" si="25">ROUND(F79/160.33,2)</f>
        <v>182.56</v>
      </c>
      <c r="G80" s="183">
        <f t="shared" si="25"/>
        <v>145.25</v>
      </c>
      <c r="H80" s="183">
        <f t="shared" si="25"/>
        <v>184.93</v>
      </c>
      <c r="I80" s="183">
        <f t="shared" si="25"/>
        <v>147.94</v>
      </c>
      <c r="J80" s="183">
        <f t="shared" si="25"/>
        <v>188.35</v>
      </c>
      <c r="K80" s="183">
        <f t="shared" si="25"/>
        <v>149.80000000000001</v>
      </c>
      <c r="L80" s="183">
        <f t="shared" si="25"/>
        <v>190.72</v>
      </c>
      <c r="M80" s="183">
        <f t="shared" si="25"/>
        <v>0</v>
      </c>
      <c r="N80" s="183">
        <f t="shared" si="25"/>
        <v>0</v>
      </c>
      <c r="O80" s="183">
        <f t="shared" si="25"/>
        <v>171.87</v>
      </c>
    </row>
    <row r="81" spans="1:15">
      <c r="A81" s="2155">
        <v>26</v>
      </c>
      <c r="B81" s="189" t="s">
        <v>93</v>
      </c>
      <c r="C81" s="185">
        <v>275131</v>
      </c>
      <c r="D81" s="178">
        <f>ROUND((C81*(1+'Løntabel gældende fra'!$D$7%)),0)</f>
        <v>350298</v>
      </c>
      <c r="E81" s="186">
        <v>280123</v>
      </c>
      <c r="F81" s="187">
        <f>ROUND((E81*(1+'Løntabel gældende fra'!$D$7%)),0)</f>
        <v>356654</v>
      </c>
      <c r="G81" s="185">
        <v>283580</v>
      </c>
      <c r="H81" s="178">
        <f>ROUND((G81*(1+'Løntabel gældende fra'!$D$7%)),0)</f>
        <v>361055</v>
      </c>
      <c r="I81" s="186">
        <v>288573</v>
      </c>
      <c r="J81" s="187">
        <f>ROUND((I81*(1+'Løntabel gældende fra'!$D$7%)),0)</f>
        <v>367412</v>
      </c>
      <c r="K81" s="185">
        <v>292029</v>
      </c>
      <c r="L81" s="178">
        <f>ROUND((K81*(1+'Løntabel gældende fra'!$D$7%)),0)</f>
        <v>371812</v>
      </c>
      <c r="M81" s="382"/>
      <c r="N81" s="360">
        <v>264528.59000000003</v>
      </c>
      <c r="O81" s="192">
        <f>ROUND(N81*(1+'Løntabel gældende fra'!$D$7%),2)</f>
        <v>336798.86</v>
      </c>
    </row>
    <row r="82" spans="1:15">
      <c r="A82" s="2153"/>
      <c r="B82" s="366" t="s">
        <v>206</v>
      </c>
      <c r="C82" s="369"/>
      <c r="D82" s="376">
        <f>ROUND(D81/12,2)</f>
        <v>29191.5</v>
      </c>
      <c r="E82" s="373">
        <f>E81/12</f>
        <v>23343.583333333332</v>
      </c>
      <c r="F82" s="358">
        <f>ROUND(F81/12,2)</f>
        <v>29721.17</v>
      </c>
      <c r="G82" s="369">
        <f>G81/12</f>
        <v>23631.666666666668</v>
      </c>
      <c r="H82" s="376">
        <f>ROUND(H81/12,2)</f>
        <v>30087.919999999998</v>
      </c>
      <c r="I82" s="373">
        <f>I81/12</f>
        <v>24047.75</v>
      </c>
      <c r="J82" s="358">
        <f>ROUND(J81/12,2)</f>
        <v>30617.67</v>
      </c>
      <c r="K82" s="369">
        <f>K81/12</f>
        <v>24335.75</v>
      </c>
      <c r="L82" s="376">
        <f>ROUND(L81/12,2)</f>
        <v>30984.33</v>
      </c>
      <c r="M82" s="381"/>
      <c r="N82" s="359"/>
      <c r="O82" s="361">
        <f>ROUND(O81/12,2)</f>
        <v>28066.57</v>
      </c>
    </row>
    <row r="83" spans="1:15" ht="15" thickBot="1">
      <c r="A83" s="2154"/>
      <c r="B83" s="367" t="s">
        <v>201</v>
      </c>
      <c r="C83" s="182">
        <f>C81/12</f>
        <v>22927.583333333332</v>
      </c>
      <c r="D83" s="183">
        <f>ROUND(D82/160.33,2)</f>
        <v>182.07</v>
      </c>
      <c r="E83" s="374"/>
      <c r="F83" s="183">
        <f t="shared" ref="F83:O83" si="26">ROUND(F82/160.33,2)</f>
        <v>185.37</v>
      </c>
      <c r="G83" s="183">
        <f t="shared" si="26"/>
        <v>147.38999999999999</v>
      </c>
      <c r="H83" s="183">
        <f t="shared" si="26"/>
        <v>187.66</v>
      </c>
      <c r="I83" s="183">
        <f t="shared" si="26"/>
        <v>149.99</v>
      </c>
      <c r="J83" s="183">
        <f t="shared" si="26"/>
        <v>190.97</v>
      </c>
      <c r="K83" s="183">
        <f t="shared" si="26"/>
        <v>151.79</v>
      </c>
      <c r="L83" s="183">
        <f t="shared" si="26"/>
        <v>193.25</v>
      </c>
      <c r="M83" s="183">
        <f t="shared" si="26"/>
        <v>0</v>
      </c>
      <c r="N83" s="183">
        <f t="shared" si="26"/>
        <v>0</v>
      </c>
      <c r="O83" s="183">
        <f t="shared" si="26"/>
        <v>175.06</v>
      </c>
    </row>
    <row r="84" spans="1:15">
      <c r="A84" s="2152">
        <v>27</v>
      </c>
      <c r="B84" s="188" t="s">
        <v>93</v>
      </c>
      <c r="C84" s="177">
        <v>279656</v>
      </c>
      <c r="D84" s="181">
        <f>ROUND((C84*(1+'Løntabel gældende fra'!$D$7%)),0)</f>
        <v>356059</v>
      </c>
      <c r="E84" s="179">
        <v>284456</v>
      </c>
      <c r="F84" s="180">
        <f>ROUND((E84*(1+'Løntabel gældende fra'!$D$7%)),0)</f>
        <v>362171</v>
      </c>
      <c r="G84" s="177">
        <v>287782</v>
      </c>
      <c r="H84" s="181">
        <f>ROUND((G84*(1+'Løntabel gældende fra'!$D$7%)),0)</f>
        <v>366405</v>
      </c>
      <c r="I84" s="179">
        <v>292583</v>
      </c>
      <c r="J84" s="180">
        <f>ROUND((I84*(1+'Løntabel gældende fra'!$D$7%)),0)</f>
        <v>372518</v>
      </c>
      <c r="K84" s="177">
        <v>295908</v>
      </c>
      <c r="L84" s="181">
        <f>ROUND((K84*(1+'Løntabel gældende fra'!$D$7%)),0)</f>
        <v>376751</v>
      </c>
      <c r="M84" s="383"/>
      <c r="N84" s="362">
        <v>269459.90000000002</v>
      </c>
      <c r="O84" s="363">
        <f>ROUND(N84*(1+'Løntabel gældende fra'!$D$7%),2)</f>
        <v>343077.42</v>
      </c>
    </row>
    <row r="85" spans="1:15">
      <c r="A85" s="2153"/>
      <c r="B85" s="366" t="s">
        <v>206</v>
      </c>
      <c r="C85" s="369"/>
      <c r="D85" s="376">
        <f>ROUND(D84/12,2)</f>
        <v>29671.58</v>
      </c>
      <c r="E85" s="373">
        <f>E84/12</f>
        <v>23704.666666666668</v>
      </c>
      <c r="F85" s="358">
        <f>ROUND(F84/12,2)</f>
        <v>30180.92</v>
      </c>
      <c r="G85" s="369">
        <f>G84/12</f>
        <v>23981.833333333332</v>
      </c>
      <c r="H85" s="376">
        <f>ROUND(H84/12,2)</f>
        <v>30533.75</v>
      </c>
      <c r="I85" s="373">
        <f>I84/12</f>
        <v>24381.916666666668</v>
      </c>
      <c r="J85" s="358">
        <f>ROUND(J84/12,2)</f>
        <v>31043.17</v>
      </c>
      <c r="K85" s="369">
        <f>K84/12</f>
        <v>24659</v>
      </c>
      <c r="L85" s="376">
        <f>ROUND(L84/12,2)</f>
        <v>31395.919999999998</v>
      </c>
      <c r="M85" s="381"/>
      <c r="N85" s="359"/>
      <c r="O85" s="361">
        <f>ROUND(O84/12,2)</f>
        <v>28589.79</v>
      </c>
    </row>
    <row r="86" spans="1:15" ht="15" thickBot="1">
      <c r="A86" s="2156"/>
      <c r="B86" s="368" t="s">
        <v>201</v>
      </c>
      <c r="C86" s="372">
        <f>C84/12</f>
        <v>23304.666666666668</v>
      </c>
      <c r="D86" s="183">
        <f>ROUND(D85/160.33,2)</f>
        <v>185.07</v>
      </c>
      <c r="E86" s="375"/>
      <c r="F86" s="183">
        <f t="shared" ref="F86:O86" si="27">ROUND(F85/160.33,2)</f>
        <v>188.24</v>
      </c>
      <c r="G86" s="183">
        <f t="shared" si="27"/>
        <v>149.58000000000001</v>
      </c>
      <c r="H86" s="183">
        <f t="shared" si="27"/>
        <v>190.44</v>
      </c>
      <c r="I86" s="183">
        <f t="shared" si="27"/>
        <v>152.07</v>
      </c>
      <c r="J86" s="183">
        <f t="shared" si="27"/>
        <v>193.62</v>
      </c>
      <c r="K86" s="183">
        <f t="shared" si="27"/>
        <v>153.80000000000001</v>
      </c>
      <c r="L86" s="183">
        <f t="shared" si="27"/>
        <v>195.82</v>
      </c>
      <c r="M86" s="183">
        <f t="shared" si="27"/>
        <v>0</v>
      </c>
      <c r="N86" s="183">
        <f t="shared" si="27"/>
        <v>0</v>
      </c>
      <c r="O86" s="183">
        <f t="shared" si="27"/>
        <v>178.32</v>
      </c>
    </row>
    <row r="87" spans="1:15">
      <c r="A87" s="2155">
        <v>28</v>
      </c>
      <c r="B87" s="189" t="s">
        <v>93</v>
      </c>
      <c r="C87" s="185">
        <v>284283</v>
      </c>
      <c r="D87" s="178">
        <f>ROUND((C87*(1+'Løntabel gældende fra'!$D$7%)),0)</f>
        <v>361950</v>
      </c>
      <c r="E87" s="186">
        <v>288881</v>
      </c>
      <c r="F87" s="187">
        <f>ROUND((E87*(1+'Løntabel gældende fra'!$D$7%)),0)</f>
        <v>367804</v>
      </c>
      <c r="G87" s="185">
        <v>292064</v>
      </c>
      <c r="H87" s="178">
        <f>ROUND((G87*(1+'Løntabel gældende fra'!$D$7%)),0)</f>
        <v>371857</v>
      </c>
      <c r="I87" s="186">
        <v>296661</v>
      </c>
      <c r="J87" s="187">
        <f>ROUND((I87*(1+'Løntabel gældende fra'!$D$7%)),0)</f>
        <v>377710</v>
      </c>
      <c r="K87" s="185">
        <v>299845</v>
      </c>
      <c r="L87" s="178">
        <f>ROUND((K87*(1+'Løntabel gældende fra'!$D$7%)),0)</f>
        <v>381764</v>
      </c>
      <c r="M87" s="382"/>
      <c r="N87" s="360">
        <v>274522.23</v>
      </c>
      <c r="O87" s="192">
        <f>ROUND(N87*(1+'Løntabel gældende fra'!$D$7%),2)</f>
        <v>349522.8</v>
      </c>
    </row>
    <row r="88" spans="1:15">
      <c r="A88" s="2153"/>
      <c r="B88" s="366" t="s">
        <v>206</v>
      </c>
      <c r="C88" s="369"/>
      <c r="D88" s="376">
        <f>ROUND(D87/12,2)</f>
        <v>30162.5</v>
      </c>
      <c r="E88" s="373">
        <f>E87/12</f>
        <v>24073.416666666668</v>
      </c>
      <c r="F88" s="358">
        <f>ROUND(F87/12,2)</f>
        <v>30650.33</v>
      </c>
      <c r="G88" s="369">
        <f>G87/12</f>
        <v>24338.666666666668</v>
      </c>
      <c r="H88" s="376">
        <f>ROUND(H87/12,2)</f>
        <v>30988.080000000002</v>
      </c>
      <c r="I88" s="373">
        <f>I87/12</f>
        <v>24721.75</v>
      </c>
      <c r="J88" s="358">
        <f>ROUND(J87/12,2)</f>
        <v>31475.83</v>
      </c>
      <c r="K88" s="369">
        <f>K87/12</f>
        <v>24987.083333333332</v>
      </c>
      <c r="L88" s="376">
        <f>ROUND(L87/12,2)</f>
        <v>31813.67</v>
      </c>
      <c r="M88" s="381"/>
      <c r="N88" s="359"/>
      <c r="O88" s="361">
        <f>ROUND(O87/12,2)</f>
        <v>29126.9</v>
      </c>
    </row>
    <row r="89" spans="1:15" ht="15" thickBot="1">
      <c r="A89" s="2154"/>
      <c r="B89" s="367" t="s">
        <v>201</v>
      </c>
      <c r="C89" s="182">
        <f>C87/12</f>
        <v>23690.25</v>
      </c>
      <c r="D89" s="183">
        <f>ROUND(D88/160.33,2)</f>
        <v>188.13</v>
      </c>
      <c r="E89" s="183">
        <f t="shared" ref="E89:O89" si="28">ROUND(E88/160.33,2)</f>
        <v>150.15</v>
      </c>
      <c r="F89" s="183">
        <f t="shared" si="28"/>
        <v>191.17</v>
      </c>
      <c r="G89" s="183">
        <f t="shared" si="28"/>
        <v>151.80000000000001</v>
      </c>
      <c r="H89" s="183">
        <f t="shared" si="28"/>
        <v>193.28</v>
      </c>
      <c r="I89" s="183">
        <f t="shared" si="28"/>
        <v>154.19</v>
      </c>
      <c r="J89" s="183">
        <f t="shared" si="28"/>
        <v>196.32</v>
      </c>
      <c r="K89" s="183">
        <f t="shared" si="28"/>
        <v>155.85</v>
      </c>
      <c r="L89" s="183">
        <f t="shared" si="28"/>
        <v>198.43</v>
      </c>
      <c r="M89" s="183">
        <f t="shared" si="28"/>
        <v>0</v>
      </c>
      <c r="N89" s="183">
        <f t="shared" si="28"/>
        <v>0</v>
      </c>
      <c r="O89" s="183">
        <f t="shared" si="28"/>
        <v>181.67</v>
      </c>
    </row>
    <row r="90" spans="1:15">
      <c r="A90" s="2152">
        <v>29</v>
      </c>
      <c r="B90" s="188" t="s">
        <v>93</v>
      </c>
      <c r="C90" s="177">
        <v>289014</v>
      </c>
      <c r="D90" s="181">
        <f>ROUND((C90*(1+'Løntabel gældende fra'!$D$7%)),0)</f>
        <v>367974</v>
      </c>
      <c r="E90" s="179">
        <v>293394</v>
      </c>
      <c r="F90" s="180">
        <f>ROUND((E90*(1+'Løntabel gældende fra'!$D$7%)),0)</f>
        <v>373550</v>
      </c>
      <c r="G90" s="177">
        <v>296427</v>
      </c>
      <c r="H90" s="181">
        <f>ROUND((G90*(1+'Løntabel gældende fra'!$D$7%)),0)</f>
        <v>377412</v>
      </c>
      <c r="I90" s="179">
        <v>300807</v>
      </c>
      <c r="J90" s="180">
        <f>ROUND((I90*(1+'Løntabel gældende fra'!$D$7%)),0)</f>
        <v>382989</v>
      </c>
      <c r="K90" s="177">
        <v>303839</v>
      </c>
      <c r="L90" s="181">
        <f>ROUND((K90*(1+'Løntabel gældende fra'!$D$7%)),0)</f>
        <v>386849</v>
      </c>
      <c r="M90" s="383"/>
      <c r="N90" s="362">
        <v>279714.99</v>
      </c>
      <c r="O90" s="363">
        <f>ROUND(N90*(1+'Løntabel gældende fra'!$D$7%),2)</f>
        <v>356134.24</v>
      </c>
    </row>
    <row r="91" spans="1:15">
      <c r="A91" s="2153"/>
      <c r="B91" s="366" t="s">
        <v>206</v>
      </c>
      <c r="C91" s="369"/>
      <c r="D91" s="376">
        <f>ROUND(D90/12,2)</f>
        <v>30664.5</v>
      </c>
      <c r="E91" s="373">
        <f>E90/12</f>
        <v>24449.5</v>
      </c>
      <c r="F91" s="358">
        <f>ROUND(F90/12,2)</f>
        <v>31129.17</v>
      </c>
      <c r="G91" s="369">
        <f>G90/12</f>
        <v>24702.25</v>
      </c>
      <c r="H91" s="376">
        <f>ROUND(H90/12,2)</f>
        <v>31451</v>
      </c>
      <c r="I91" s="373">
        <f>I90/12</f>
        <v>25067.25</v>
      </c>
      <c r="J91" s="358">
        <f>ROUND(J90/12,2)</f>
        <v>31915.75</v>
      </c>
      <c r="K91" s="369">
        <f>K90/12</f>
        <v>25319.916666666668</v>
      </c>
      <c r="L91" s="376">
        <f>ROUND(L90/12,2)</f>
        <v>32237.42</v>
      </c>
      <c r="M91" s="381"/>
      <c r="N91" s="359"/>
      <c r="O91" s="361">
        <f>ROUND(O90/12,2)</f>
        <v>29677.85</v>
      </c>
    </row>
    <row r="92" spans="1:15" ht="15" thickBot="1">
      <c r="A92" s="2156"/>
      <c r="B92" s="368" t="s">
        <v>201</v>
      </c>
      <c r="C92" s="372">
        <f>C90/12</f>
        <v>24084.5</v>
      </c>
      <c r="D92" s="183">
        <f>ROUND(D91/160.33,2)</f>
        <v>191.26</v>
      </c>
      <c r="E92" s="375"/>
      <c r="F92" s="183">
        <f t="shared" ref="F92:O92" si="29">ROUND(F91/160.33,2)</f>
        <v>194.16</v>
      </c>
      <c r="G92" s="183">
        <f t="shared" si="29"/>
        <v>154.07</v>
      </c>
      <c r="H92" s="183">
        <f t="shared" si="29"/>
        <v>196.16</v>
      </c>
      <c r="I92" s="183">
        <f t="shared" si="29"/>
        <v>156.35</v>
      </c>
      <c r="J92" s="183">
        <f t="shared" si="29"/>
        <v>199.06</v>
      </c>
      <c r="K92" s="183">
        <f t="shared" si="29"/>
        <v>157.91999999999999</v>
      </c>
      <c r="L92" s="183">
        <f t="shared" si="29"/>
        <v>201.07</v>
      </c>
      <c r="M92" s="183">
        <f t="shared" si="29"/>
        <v>0</v>
      </c>
      <c r="N92" s="183">
        <f t="shared" si="29"/>
        <v>0</v>
      </c>
      <c r="O92" s="183">
        <f t="shared" si="29"/>
        <v>185.1</v>
      </c>
    </row>
    <row r="93" spans="1:15">
      <c r="A93" s="2155">
        <v>30</v>
      </c>
      <c r="B93" s="189" t="s">
        <v>93</v>
      </c>
      <c r="C93" s="185">
        <v>293853</v>
      </c>
      <c r="D93" s="178">
        <f>ROUND((C93*(1+'Løntabel gældende fra'!$D$7%)),0)</f>
        <v>374135</v>
      </c>
      <c r="E93" s="186">
        <v>298001</v>
      </c>
      <c r="F93" s="187">
        <f>ROUND((E93*(1+'Løntabel gældende fra'!$D$7%)),0)</f>
        <v>379416</v>
      </c>
      <c r="G93" s="185">
        <v>300872</v>
      </c>
      <c r="H93" s="178">
        <f>ROUND((G93*(1+'Løntabel gældende fra'!$D$7%)),0)</f>
        <v>383071</v>
      </c>
      <c r="I93" s="186">
        <v>305018</v>
      </c>
      <c r="J93" s="187">
        <f>ROUND((I93*(1+'Løntabel gældende fra'!$D$7%)),0)</f>
        <v>388350</v>
      </c>
      <c r="K93" s="185">
        <v>307890</v>
      </c>
      <c r="L93" s="178">
        <f>ROUND((K93*(1+'Løntabel gældende fra'!$D$7%)),0)</f>
        <v>392007</v>
      </c>
      <c r="M93" s="382"/>
      <c r="N93" s="360">
        <v>285044.74</v>
      </c>
      <c r="O93" s="192">
        <f>ROUND(N93*(1+'Løntabel gældende fra'!$D$7%),2)</f>
        <v>362920.1</v>
      </c>
    </row>
    <row r="94" spans="1:15">
      <c r="A94" s="2153"/>
      <c r="B94" s="366" t="s">
        <v>94</v>
      </c>
      <c r="C94" s="369"/>
      <c r="D94" s="376">
        <f>ROUND(D93/12,2)</f>
        <v>31177.919999999998</v>
      </c>
      <c r="E94" s="373">
        <f>E93/12</f>
        <v>24833.416666666668</v>
      </c>
      <c r="F94" s="358">
        <f>ROUND(F93/12,2)</f>
        <v>31618</v>
      </c>
      <c r="G94" s="369">
        <f>G93/12</f>
        <v>25072.666666666668</v>
      </c>
      <c r="H94" s="376">
        <f>ROUND(H93/12,2)</f>
        <v>31922.58</v>
      </c>
      <c r="I94" s="373">
        <f>I93/12</f>
        <v>25418.166666666668</v>
      </c>
      <c r="J94" s="358">
        <f>ROUND(J93/12,2)</f>
        <v>32362.5</v>
      </c>
      <c r="K94" s="369">
        <f>K93/12</f>
        <v>25657.5</v>
      </c>
      <c r="L94" s="376">
        <f>ROUND(L93/12,2)</f>
        <v>32667.25</v>
      </c>
      <c r="M94" s="381"/>
      <c r="N94" s="359"/>
      <c r="O94" s="361">
        <f>ROUND(O93/12,2)</f>
        <v>30243.34</v>
      </c>
    </row>
    <row r="95" spans="1:15" ht="15" thickBot="1">
      <c r="A95" s="2154"/>
      <c r="B95" s="367" t="s">
        <v>201</v>
      </c>
      <c r="C95" s="182">
        <f>C93/12</f>
        <v>24487.75</v>
      </c>
      <c r="D95" s="183">
        <f>ROUND(D94/160.33,2)</f>
        <v>194.46</v>
      </c>
      <c r="E95" s="374"/>
      <c r="F95" s="183">
        <f t="shared" ref="F95:O95" si="30">ROUND(F94/160.33,2)</f>
        <v>197.21</v>
      </c>
      <c r="G95" s="183">
        <f t="shared" si="30"/>
        <v>156.38</v>
      </c>
      <c r="H95" s="183">
        <f t="shared" si="30"/>
        <v>199.11</v>
      </c>
      <c r="I95" s="183">
        <f t="shared" si="30"/>
        <v>158.54</v>
      </c>
      <c r="J95" s="183">
        <f t="shared" si="30"/>
        <v>201.85</v>
      </c>
      <c r="K95" s="183">
        <f t="shared" si="30"/>
        <v>160.03</v>
      </c>
      <c r="L95" s="183">
        <f t="shared" si="30"/>
        <v>203.75</v>
      </c>
      <c r="M95" s="183">
        <f t="shared" si="30"/>
        <v>0</v>
      </c>
      <c r="N95" s="183">
        <f t="shared" si="30"/>
        <v>0</v>
      </c>
      <c r="O95" s="183">
        <f t="shared" si="30"/>
        <v>188.63</v>
      </c>
    </row>
    <row r="96" spans="1:15">
      <c r="A96" s="2152">
        <v>31</v>
      </c>
      <c r="B96" s="188" t="s">
        <v>93</v>
      </c>
      <c r="C96" s="177">
        <v>298795</v>
      </c>
      <c r="D96" s="181">
        <f>ROUND((C96*(1+'Løntabel gældende fra'!$D$7%)),0)</f>
        <v>380427</v>
      </c>
      <c r="E96" s="179">
        <v>302696</v>
      </c>
      <c r="F96" s="180">
        <f>ROUND((E96*(1+'Løntabel gældende fra'!$D$7%)),0)</f>
        <v>385394</v>
      </c>
      <c r="G96" s="177">
        <v>305398</v>
      </c>
      <c r="H96" s="181">
        <f>ROUND((G96*(1+'Løntabel gældende fra'!$D$7%)),0)</f>
        <v>388834</v>
      </c>
      <c r="I96" s="179">
        <v>309299</v>
      </c>
      <c r="J96" s="180">
        <f>ROUND((I96*(1+'Løntabel gældende fra'!$D$7%)),0)</f>
        <v>393801</v>
      </c>
      <c r="K96" s="177">
        <v>312000</v>
      </c>
      <c r="L96" s="181">
        <f>ROUND((K96*(1+'Løntabel gældende fra'!$D$7%)),0)</f>
        <v>397240</v>
      </c>
      <c r="M96" s="383"/>
      <c r="N96" s="362">
        <v>290512.64000000001</v>
      </c>
      <c r="O96" s="363">
        <f>ROUND(N96*(1+'Løntabel gældende fra'!$D$7%),2)</f>
        <v>369881.86</v>
      </c>
    </row>
    <row r="97" spans="1:15">
      <c r="A97" s="2153"/>
      <c r="B97" s="366" t="s">
        <v>206</v>
      </c>
      <c r="C97" s="369"/>
      <c r="D97" s="376">
        <f>ROUND(D96/12,2)</f>
        <v>31702.25</v>
      </c>
      <c r="E97" s="373">
        <f>E96/12</f>
        <v>25224.666666666668</v>
      </c>
      <c r="F97" s="358">
        <f>ROUND(F96/12,2)</f>
        <v>32116.17</v>
      </c>
      <c r="G97" s="369">
        <f>G96/12</f>
        <v>25449.833333333332</v>
      </c>
      <c r="H97" s="376">
        <f>ROUND(H96/12,2)</f>
        <v>32402.83</v>
      </c>
      <c r="I97" s="373">
        <f>I96/12</f>
        <v>25774.916666666668</v>
      </c>
      <c r="J97" s="358">
        <f>ROUND(J96/12,2)</f>
        <v>32816.75</v>
      </c>
      <c r="K97" s="369">
        <f>K96/12</f>
        <v>26000</v>
      </c>
      <c r="L97" s="376">
        <f>ROUND(L96/12,2)</f>
        <v>33103.33</v>
      </c>
      <c r="M97" s="381"/>
      <c r="N97" s="359"/>
      <c r="O97" s="361">
        <f>ROUND(O96/12,2)</f>
        <v>30823.49</v>
      </c>
    </row>
    <row r="98" spans="1:15" ht="15" thickBot="1">
      <c r="A98" s="2156"/>
      <c r="B98" s="368" t="s">
        <v>201</v>
      </c>
      <c r="C98" s="372">
        <f>C96/12</f>
        <v>24899.583333333332</v>
      </c>
      <c r="D98" s="183">
        <f>ROUND(D97/160.33,2)</f>
        <v>197.73</v>
      </c>
      <c r="E98" s="375"/>
      <c r="F98" s="183">
        <f t="shared" ref="F98:O98" si="31">ROUND(F97/160.33,2)</f>
        <v>200.31</v>
      </c>
      <c r="G98" s="183">
        <f t="shared" si="31"/>
        <v>158.72999999999999</v>
      </c>
      <c r="H98" s="183">
        <f t="shared" si="31"/>
        <v>202.1</v>
      </c>
      <c r="I98" s="183">
        <f t="shared" si="31"/>
        <v>160.76</v>
      </c>
      <c r="J98" s="183">
        <f t="shared" si="31"/>
        <v>204.68</v>
      </c>
      <c r="K98" s="183">
        <f t="shared" si="31"/>
        <v>162.16999999999999</v>
      </c>
      <c r="L98" s="183">
        <f t="shared" si="31"/>
        <v>206.47</v>
      </c>
      <c r="M98" s="183">
        <f t="shared" si="31"/>
        <v>0</v>
      </c>
      <c r="N98" s="183">
        <f t="shared" si="31"/>
        <v>0</v>
      </c>
      <c r="O98" s="183">
        <f t="shared" si="31"/>
        <v>192.25</v>
      </c>
    </row>
    <row r="99" spans="1:15">
      <c r="A99" s="2155">
        <v>32</v>
      </c>
      <c r="B99" s="189" t="s">
        <v>93</v>
      </c>
      <c r="C99" s="185">
        <v>303852</v>
      </c>
      <c r="D99" s="178">
        <f>ROUND((C99*(1+'Løntabel gældende fra'!$D$7%)),0)</f>
        <v>386866</v>
      </c>
      <c r="E99" s="186">
        <v>307490</v>
      </c>
      <c r="F99" s="187">
        <f>ROUND((E99*(1+'Løntabel gældende fra'!$D$7%)),0)</f>
        <v>391497</v>
      </c>
      <c r="G99" s="185">
        <v>310009</v>
      </c>
      <c r="H99" s="178">
        <f>ROUND((G99*(1+'Løntabel gældende fra'!$D$7%)),0)</f>
        <v>394705</v>
      </c>
      <c r="I99" s="186">
        <v>313649</v>
      </c>
      <c r="J99" s="187">
        <f>ROUND((I99*(1+'Løntabel gældende fra'!$D$7%)),0)</f>
        <v>399339</v>
      </c>
      <c r="K99" s="185">
        <v>316167</v>
      </c>
      <c r="L99" s="178">
        <f>ROUND((K99*(1+'Løntabel gældende fra'!$D$7%)),0)</f>
        <v>402545</v>
      </c>
      <c r="M99" s="382"/>
      <c r="N99" s="360">
        <v>296125.21000000002</v>
      </c>
      <c r="O99" s="192">
        <f>ROUND(N99*(1+'Løntabel gældende fra'!$D$7%),2)</f>
        <v>377027.8</v>
      </c>
    </row>
    <row r="100" spans="1:15">
      <c r="A100" s="2153"/>
      <c r="B100" s="366" t="s">
        <v>94</v>
      </c>
      <c r="C100" s="369"/>
      <c r="D100" s="376">
        <f>ROUND(D99/12,2)</f>
        <v>32238.83</v>
      </c>
      <c r="E100" s="373">
        <f>E99/12</f>
        <v>25624.166666666668</v>
      </c>
      <c r="F100" s="358">
        <f>ROUND(F99/12,2)</f>
        <v>32624.75</v>
      </c>
      <c r="G100" s="369">
        <f>G99/12</f>
        <v>25834.083333333332</v>
      </c>
      <c r="H100" s="376">
        <f>ROUND(H99/12,2)</f>
        <v>32892.080000000002</v>
      </c>
      <c r="I100" s="373">
        <f>I99/12</f>
        <v>26137.416666666668</v>
      </c>
      <c r="J100" s="358">
        <f>ROUND(J99/12,2)</f>
        <v>33278.25</v>
      </c>
      <c r="K100" s="369">
        <f>K99/12</f>
        <v>26347.25</v>
      </c>
      <c r="L100" s="376">
        <f>ROUND(L99/12,2)</f>
        <v>33545.42</v>
      </c>
      <c r="M100" s="381"/>
      <c r="N100" s="359"/>
      <c r="O100" s="361">
        <f>ROUND(O99/12,2)</f>
        <v>31418.98</v>
      </c>
    </row>
    <row r="101" spans="1:15" ht="15" thickBot="1">
      <c r="A101" s="2154"/>
      <c r="B101" s="367" t="s">
        <v>201</v>
      </c>
      <c r="C101" s="182">
        <f>C99/12</f>
        <v>25321</v>
      </c>
      <c r="D101" s="183">
        <f>ROUND(D100/160.33,2)</f>
        <v>201.08</v>
      </c>
      <c r="E101" s="374"/>
      <c r="F101" s="183">
        <f t="shared" ref="F101:O101" si="32">ROUND(F100/160.33,2)</f>
        <v>203.48</v>
      </c>
      <c r="G101" s="183">
        <f t="shared" si="32"/>
        <v>161.13</v>
      </c>
      <c r="H101" s="183">
        <f t="shared" si="32"/>
        <v>205.15</v>
      </c>
      <c r="I101" s="183">
        <f t="shared" si="32"/>
        <v>163.02000000000001</v>
      </c>
      <c r="J101" s="183">
        <f t="shared" si="32"/>
        <v>207.56</v>
      </c>
      <c r="K101" s="183">
        <f t="shared" si="32"/>
        <v>164.33</v>
      </c>
      <c r="L101" s="183">
        <f t="shared" si="32"/>
        <v>209.23</v>
      </c>
      <c r="M101" s="183">
        <f t="shared" si="32"/>
        <v>0</v>
      </c>
      <c r="N101" s="183">
        <f t="shared" si="32"/>
        <v>0</v>
      </c>
      <c r="O101" s="183">
        <f t="shared" si="32"/>
        <v>195.96</v>
      </c>
    </row>
    <row r="102" spans="1:15">
      <c r="A102" s="2152">
        <v>33</v>
      </c>
      <c r="B102" s="188" t="s">
        <v>93</v>
      </c>
      <c r="C102" s="177">
        <v>309016</v>
      </c>
      <c r="D102" s="181">
        <f>ROUND((C102*(1+'Løntabel gældende fra'!$D$7%)),0)</f>
        <v>393440</v>
      </c>
      <c r="E102" s="179">
        <v>312375</v>
      </c>
      <c r="F102" s="180">
        <f>ROUND((E102*(1+'Løntabel gældende fra'!$D$7%)),0)</f>
        <v>397717</v>
      </c>
      <c r="G102" s="177">
        <v>314703</v>
      </c>
      <c r="H102" s="181">
        <f>ROUND((G102*(1+'Løntabel gældende fra'!$D$7%)),0)</f>
        <v>400681</v>
      </c>
      <c r="I102" s="179">
        <v>318063</v>
      </c>
      <c r="J102" s="180">
        <f>ROUND((I102*(1+'Løntabel gældende fra'!$D$7%)),0)</f>
        <v>404959</v>
      </c>
      <c r="K102" s="177">
        <v>320390</v>
      </c>
      <c r="L102" s="181">
        <f>ROUND((K102*(1+'Løntabel gældende fra'!$D$7%)),0)</f>
        <v>407922</v>
      </c>
      <c r="M102" s="383"/>
      <c r="N102" s="362">
        <v>301881.8</v>
      </c>
      <c r="O102" s="363">
        <f>ROUND(N102*(1+'Løntabel gældende fra'!$D$7%),2)</f>
        <v>384357.12</v>
      </c>
    </row>
    <row r="103" spans="1:15">
      <c r="A103" s="2153"/>
      <c r="B103" s="366" t="s">
        <v>206</v>
      </c>
      <c r="C103" s="369"/>
      <c r="D103" s="376">
        <f>ROUND(D102/12,2)</f>
        <v>32786.67</v>
      </c>
      <c r="E103" s="373">
        <f>E102/12</f>
        <v>26031.25</v>
      </c>
      <c r="F103" s="358">
        <f>ROUND(F102/12,2)</f>
        <v>33143.08</v>
      </c>
      <c r="G103" s="369">
        <f>G102/12</f>
        <v>26225.25</v>
      </c>
      <c r="H103" s="376">
        <f>ROUND(H102/12,2)</f>
        <v>33390.080000000002</v>
      </c>
      <c r="I103" s="373">
        <f>I102/12</f>
        <v>26505.25</v>
      </c>
      <c r="J103" s="358">
        <f>ROUND(J102/12,2)</f>
        <v>33746.58</v>
      </c>
      <c r="K103" s="369">
        <f>K102/12</f>
        <v>26699.166666666668</v>
      </c>
      <c r="L103" s="376">
        <f>ROUND(L102/12,2)</f>
        <v>33993.5</v>
      </c>
      <c r="M103" s="381"/>
      <c r="N103" s="359"/>
      <c r="O103" s="361">
        <f>ROUND(O102/12,2)</f>
        <v>32029.759999999998</v>
      </c>
    </row>
    <row r="104" spans="1:15" ht="15" thickBot="1">
      <c r="A104" s="2156"/>
      <c r="B104" s="368" t="s">
        <v>201</v>
      </c>
      <c r="C104" s="372">
        <f>C102/12</f>
        <v>25751.333333333332</v>
      </c>
      <c r="D104" s="183">
        <f>ROUND(D103/160.33,2)</f>
        <v>204.49</v>
      </c>
      <c r="E104" s="375"/>
      <c r="F104" s="183">
        <f t="shared" ref="F104:O104" si="33">ROUND(F103/160.33,2)</f>
        <v>206.72</v>
      </c>
      <c r="G104" s="183">
        <f t="shared" si="33"/>
        <v>163.57</v>
      </c>
      <c r="H104" s="183">
        <f t="shared" si="33"/>
        <v>208.26</v>
      </c>
      <c r="I104" s="183">
        <f t="shared" si="33"/>
        <v>165.32</v>
      </c>
      <c r="J104" s="183">
        <f t="shared" si="33"/>
        <v>210.48</v>
      </c>
      <c r="K104" s="183">
        <f t="shared" si="33"/>
        <v>166.53</v>
      </c>
      <c r="L104" s="183">
        <f t="shared" si="33"/>
        <v>212.02</v>
      </c>
      <c r="M104" s="183">
        <f t="shared" si="33"/>
        <v>0</v>
      </c>
      <c r="N104" s="183">
        <f t="shared" si="33"/>
        <v>0</v>
      </c>
      <c r="O104" s="183">
        <f t="shared" si="33"/>
        <v>199.77</v>
      </c>
    </row>
    <row r="105" spans="1:15">
      <c r="A105" s="2155">
        <v>34</v>
      </c>
      <c r="B105" s="189" t="s">
        <v>93</v>
      </c>
      <c r="C105" s="185">
        <v>314298</v>
      </c>
      <c r="D105" s="178">
        <f>ROUND((C105*(1+'Løntabel gældende fra'!$D$7%)),0)</f>
        <v>400165</v>
      </c>
      <c r="E105" s="186">
        <v>317363</v>
      </c>
      <c r="F105" s="187">
        <f>ROUND((E105*(1+'Løntabel gældende fra'!$D$7%)),0)</f>
        <v>404068</v>
      </c>
      <c r="G105" s="185">
        <v>319485</v>
      </c>
      <c r="H105" s="178">
        <f>ROUND((G105*(1+'Løntabel gældende fra'!$D$7%)),0)</f>
        <v>406770</v>
      </c>
      <c r="I105" s="186">
        <v>322548</v>
      </c>
      <c r="J105" s="187">
        <f>ROUND((I105*(1+'Løntabel gældende fra'!$D$7%)),0)</f>
        <v>410669</v>
      </c>
      <c r="K105" s="185">
        <v>324670</v>
      </c>
      <c r="L105" s="178">
        <f>ROUND((K105*(1+'Løntabel gældende fra'!$D$7%)),0)</f>
        <v>413371</v>
      </c>
      <c r="M105" s="382"/>
      <c r="N105" s="360">
        <v>307790.62</v>
      </c>
      <c r="O105" s="192">
        <f>ROUND(N105*(1+'Løntabel gældende fra'!$D$7%),2)</f>
        <v>391880.25</v>
      </c>
    </row>
    <row r="106" spans="1:15">
      <c r="A106" s="2153"/>
      <c r="B106" s="366" t="s">
        <v>206</v>
      </c>
      <c r="C106" s="369"/>
      <c r="D106" s="376">
        <f>ROUND(D105/12,2)</f>
        <v>33347.08</v>
      </c>
      <c r="E106" s="373">
        <f>E105/12</f>
        <v>26446.916666666668</v>
      </c>
      <c r="F106" s="358">
        <f>ROUND(F105/12,2)</f>
        <v>33672.33</v>
      </c>
      <c r="G106" s="369">
        <f>G105/12</f>
        <v>26623.75</v>
      </c>
      <c r="H106" s="376">
        <f>ROUND(H105/12,2)</f>
        <v>33897.5</v>
      </c>
      <c r="I106" s="373">
        <f>I105/12</f>
        <v>26879</v>
      </c>
      <c r="J106" s="358">
        <f>ROUND(J105/12,2)</f>
        <v>34222.42</v>
      </c>
      <c r="K106" s="369">
        <f>K105/12</f>
        <v>27055.833333333332</v>
      </c>
      <c r="L106" s="376">
        <f>ROUND(L105/12,2)</f>
        <v>34447.58</v>
      </c>
      <c r="M106" s="381"/>
      <c r="N106" s="359"/>
      <c r="O106" s="361">
        <f>ROUND(O105/12,2)</f>
        <v>32656.69</v>
      </c>
    </row>
    <row r="107" spans="1:15" ht="15" thickBot="1">
      <c r="A107" s="2154"/>
      <c r="B107" s="367" t="s">
        <v>201</v>
      </c>
      <c r="C107" s="182">
        <f>C105/12</f>
        <v>26191.5</v>
      </c>
      <c r="D107" s="183">
        <f>ROUND(D106/160.33,2)</f>
        <v>207.99</v>
      </c>
      <c r="E107" s="374"/>
      <c r="F107" s="183">
        <f t="shared" ref="F107:O107" si="34">ROUND(F106/160.33,2)</f>
        <v>210.02</v>
      </c>
      <c r="G107" s="183">
        <f t="shared" si="34"/>
        <v>166.06</v>
      </c>
      <c r="H107" s="183">
        <f t="shared" si="34"/>
        <v>211.42</v>
      </c>
      <c r="I107" s="183">
        <f t="shared" si="34"/>
        <v>167.65</v>
      </c>
      <c r="J107" s="183">
        <f t="shared" si="34"/>
        <v>213.45</v>
      </c>
      <c r="K107" s="183">
        <f t="shared" si="34"/>
        <v>168.75</v>
      </c>
      <c r="L107" s="183">
        <f t="shared" si="34"/>
        <v>214.85</v>
      </c>
      <c r="M107" s="183">
        <f t="shared" si="34"/>
        <v>0</v>
      </c>
      <c r="N107" s="183">
        <f t="shared" si="34"/>
        <v>0</v>
      </c>
      <c r="O107" s="183">
        <f t="shared" si="34"/>
        <v>203.68</v>
      </c>
    </row>
    <row r="108" spans="1:15">
      <c r="A108" s="2152">
        <v>35</v>
      </c>
      <c r="B108" s="188" t="s">
        <v>93</v>
      </c>
      <c r="C108" s="177">
        <v>319697</v>
      </c>
      <c r="D108" s="181">
        <f>ROUND((C108*(1+'Løntabel gældende fra'!$D$7%)),0)</f>
        <v>407039</v>
      </c>
      <c r="E108" s="179">
        <v>322450</v>
      </c>
      <c r="F108" s="180">
        <f>ROUND((E108*(1+'Løntabel gældende fra'!$D$7%)),0)</f>
        <v>410545</v>
      </c>
      <c r="G108" s="177">
        <v>324354</v>
      </c>
      <c r="H108" s="181">
        <f>ROUND((G108*(1+'Løntabel gældende fra'!$D$7%)),0)</f>
        <v>412969</v>
      </c>
      <c r="I108" s="179">
        <v>327107</v>
      </c>
      <c r="J108" s="180">
        <f>ROUND((I108*(1+'Løntabel gældende fra'!$D$7%)),0)</f>
        <v>416474</v>
      </c>
      <c r="K108" s="177">
        <v>329011</v>
      </c>
      <c r="L108" s="181">
        <f>ROUND((K108*(1+'Løntabel gældende fra'!$D$7%)),0)</f>
        <v>418898</v>
      </c>
      <c r="M108" s="383"/>
      <c r="N108" s="362">
        <v>313854.56</v>
      </c>
      <c r="O108" s="363">
        <f>ROUND(N108*(1+'Løntabel gældende fra'!$D$7%),2)</f>
        <v>399600.88</v>
      </c>
    </row>
    <row r="109" spans="1:15">
      <c r="A109" s="2153"/>
      <c r="B109" s="366" t="s">
        <v>206</v>
      </c>
      <c r="C109" s="369"/>
      <c r="D109" s="376">
        <f>ROUND(D108/12,2)</f>
        <v>33919.919999999998</v>
      </c>
      <c r="E109" s="373">
        <f>E108/12</f>
        <v>26870.833333333332</v>
      </c>
      <c r="F109" s="358">
        <f>ROUND(F108/12,2)</f>
        <v>34212.080000000002</v>
      </c>
      <c r="G109" s="369">
        <f>G108/12</f>
        <v>27029.5</v>
      </c>
      <c r="H109" s="376">
        <f>ROUND(H108/12,2)</f>
        <v>34414.080000000002</v>
      </c>
      <c r="I109" s="373">
        <f>I108/12</f>
        <v>27258.916666666668</v>
      </c>
      <c r="J109" s="358">
        <f>ROUND(J108/12,2)</f>
        <v>34706.17</v>
      </c>
      <c r="K109" s="369">
        <f>K108/12</f>
        <v>27417.583333333332</v>
      </c>
      <c r="L109" s="376">
        <f>ROUND(L108/12,2)</f>
        <v>34908.17</v>
      </c>
      <c r="M109" s="381"/>
      <c r="N109" s="359"/>
      <c r="O109" s="361">
        <f>ROUND(O108/12,2)</f>
        <v>33300.07</v>
      </c>
    </row>
    <row r="110" spans="1:15" ht="15" thickBot="1">
      <c r="A110" s="2156"/>
      <c r="B110" s="368" t="s">
        <v>201</v>
      </c>
      <c r="C110" s="372">
        <f>C108/12</f>
        <v>26641.416666666668</v>
      </c>
      <c r="D110" s="183">
        <f>ROUND(D109/160.33,2)</f>
        <v>211.56</v>
      </c>
      <c r="E110" s="375"/>
      <c r="F110" s="183">
        <f t="shared" ref="F110:O110" si="35">ROUND(F109/160.33,2)</f>
        <v>213.39</v>
      </c>
      <c r="G110" s="183">
        <f t="shared" si="35"/>
        <v>168.59</v>
      </c>
      <c r="H110" s="183">
        <f t="shared" si="35"/>
        <v>214.65</v>
      </c>
      <c r="I110" s="183">
        <f t="shared" si="35"/>
        <v>170.02</v>
      </c>
      <c r="J110" s="183">
        <f t="shared" si="35"/>
        <v>216.47</v>
      </c>
      <c r="K110" s="183">
        <f t="shared" si="35"/>
        <v>171.01</v>
      </c>
      <c r="L110" s="183">
        <f t="shared" si="35"/>
        <v>217.73</v>
      </c>
      <c r="M110" s="183">
        <f t="shared" si="35"/>
        <v>0</v>
      </c>
      <c r="N110" s="183">
        <f t="shared" si="35"/>
        <v>0</v>
      </c>
      <c r="O110" s="183">
        <f t="shared" si="35"/>
        <v>207.7</v>
      </c>
    </row>
    <row r="111" spans="1:15">
      <c r="A111" s="2155">
        <v>36</v>
      </c>
      <c r="B111" s="189" t="s">
        <v>93</v>
      </c>
      <c r="C111" s="185">
        <v>325214</v>
      </c>
      <c r="D111" s="178">
        <f>ROUND((C111*(1+'Løntabel gældende fra'!$D$7%)),0)</f>
        <v>414064</v>
      </c>
      <c r="E111" s="186">
        <v>327634</v>
      </c>
      <c r="F111" s="187">
        <f>ROUND((E111*(1+'Løntabel gældende fra'!$D$7%)),0)</f>
        <v>417145</v>
      </c>
      <c r="G111" s="185">
        <v>329310</v>
      </c>
      <c r="H111" s="178">
        <f>ROUND((G111*(1+'Løntabel gældende fra'!$D$7%)),0)</f>
        <v>419279</v>
      </c>
      <c r="I111" s="186">
        <v>331731</v>
      </c>
      <c r="J111" s="187">
        <f>ROUND((I111*(1+'Løntabel gældende fra'!$D$7%)),0)</f>
        <v>422361</v>
      </c>
      <c r="K111" s="185">
        <v>333406</v>
      </c>
      <c r="L111" s="178">
        <f>ROUND((K111*(1+'Løntabel gældende fra'!$D$7%)),0)</f>
        <v>424494</v>
      </c>
      <c r="M111" s="382"/>
      <c r="N111" s="360">
        <v>320074.68</v>
      </c>
      <c r="O111" s="192">
        <f>ROUND(N111*(1+'Løntabel gældende fra'!$D$7%),2)</f>
        <v>407520.36</v>
      </c>
    </row>
    <row r="112" spans="1:15">
      <c r="A112" s="2153"/>
      <c r="B112" s="366" t="s">
        <v>206</v>
      </c>
      <c r="C112" s="369"/>
      <c r="D112" s="376">
        <f>ROUND(D111/12,2)</f>
        <v>34505.33</v>
      </c>
      <c r="E112" s="373">
        <f>E111/12</f>
        <v>27302.833333333332</v>
      </c>
      <c r="F112" s="358">
        <f>ROUND(F111/12,2)</f>
        <v>34762.080000000002</v>
      </c>
      <c r="G112" s="369">
        <f>G111/12</f>
        <v>27442.5</v>
      </c>
      <c r="H112" s="376">
        <f>ROUND(H111/12,2)</f>
        <v>34939.919999999998</v>
      </c>
      <c r="I112" s="373">
        <f>I111/12</f>
        <v>27644.25</v>
      </c>
      <c r="J112" s="358">
        <f>ROUND(J111/12,2)</f>
        <v>35196.75</v>
      </c>
      <c r="K112" s="369">
        <f>K111/12</f>
        <v>27783.833333333332</v>
      </c>
      <c r="L112" s="376">
        <f>ROUND(L111/12,2)</f>
        <v>35374.5</v>
      </c>
      <c r="M112" s="381"/>
      <c r="N112" s="359"/>
      <c r="O112" s="361">
        <f>ROUND(O111/12,2)</f>
        <v>33960.03</v>
      </c>
    </row>
    <row r="113" spans="1:15" ht="15" thickBot="1">
      <c r="A113" s="2154"/>
      <c r="B113" s="367" t="s">
        <v>201</v>
      </c>
      <c r="C113" s="182">
        <f>C111/12</f>
        <v>27101.166666666668</v>
      </c>
      <c r="D113" s="183">
        <f>ROUND(D112/160.33,2)</f>
        <v>215.21</v>
      </c>
      <c r="E113" s="374"/>
      <c r="F113" s="183">
        <f t="shared" ref="F113:O113" si="36">ROUND(F112/160.33,2)</f>
        <v>216.82</v>
      </c>
      <c r="G113" s="183">
        <f t="shared" si="36"/>
        <v>171.16</v>
      </c>
      <c r="H113" s="183">
        <f t="shared" si="36"/>
        <v>217.93</v>
      </c>
      <c r="I113" s="183">
        <f t="shared" si="36"/>
        <v>172.42</v>
      </c>
      <c r="J113" s="183">
        <f t="shared" si="36"/>
        <v>219.53</v>
      </c>
      <c r="K113" s="183">
        <f t="shared" si="36"/>
        <v>173.29</v>
      </c>
      <c r="L113" s="183">
        <f t="shared" si="36"/>
        <v>220.64</v>
      </c>
      <c r="M113" s="183">
        <f t="shared" si="36"/>
        <v>0</v>
      </c>
      <c r="N113" s="183">
        <f t="shared" si="36"/>
        <v>0</v>
      </c>
      <c r="O113" s="183">
        <f t="shared" si="36"/>
        <v>211.81</v>
      </c>
    </row>
    <row r="114" spans="1:15">
      <c r="A114" s="2152">
        <v>37</v>
      </c>
      <c r="B114" s="188" t="s">
        <v>93</v>
      </c>
      <c r="C114" s="177">
        <v>330853</v>
      </c>
      <c r="D114" s="181">
        <f>ROUND((C114*(1+'Løntabel gældende fra'!$D$7%)),0)</f>
        <v>421243</v>
      </c>
      <c r="E114" s="179">
        <v>332923</v>
      </c>
      <c r="F114" s="180">
        <f>ROUND((E114*(1+'Løntabel gældende fra'!$D$7%)),0)</f>
        <v>423879</v>
      </c>
      <c r="G114" s="177">
        <v>334355</v>
      </c>
      <c r="H114" s="181">
        <f>ROUND((G114*(1+'Løntabel gældende fra'!$D$7%)),0)</f>
        <v>425702</v>
      </c>
      <c r="I114" s="179">
        <v>336425</v>
      </c>
      <c r="J114" s="180">
        <f>ROUND((I114*(1+'Løntabel gældende fra'!$D$7%)),0)</f>
        <v>428338</v>
      </c>
      <c r="K114" s="177">
        <v>337859</v>
      </c>
      <c r="L114" s="181">
        <f>ROUND((K114*(1+'Løntabel gældende fra'!$D$7%)),0)</f>
        <v>430163</v>
      </c>
      <c r="M114" s="383"/>
      <c r="N114" s="362">
        <v>326457.34000000003</v>
      </c>
      <c r="O114" s="363">
        <f>ROUND(N114*(1+'Løntabel gældende fra'!$D$7%),2)</f>
        <v>415646.79</v>
      </c>
    </row>
    <row r="115" spans="1:15">
      <c r="A115" s="2153"/>
      <c r="B115" s="366" t="s">
        <v>206</v>
      </c>
      <c r="C115" s="369"/>
      <c r="D115" s="376">
        <f>ROUND(D114/12,2)</f>
        <v>35103.58</v>
      </c>
      <c r="E115" s="373">
        <f>E114/12</f>
        <v>27743.583333333332</v>
      </c>
      <c r="F115" s="358">
        <f>ROUND(F114/12,2)</f>
        <v>35323.25</v>
      </c>
      <c r="G115" s="369">
        <f>G114/12</f>
        <v>27862.916666666668</v>
      </c>
      <c r="H115" s="376">
        <f>ROUND(H114/12,2)</f>
        <v>35475.17</v>
      </c>
      <c r="I115" s="373">
        <f>I114/12</f>
        <v>28035.416666666668</v>
      </c>
      <c r="J115" s="358">
        <f>ROUND(J114/12,2)</f>
        <v>35694.83</v>
      </c>
      <c r="K115" s="369">
        <f>K114/12</f>
        <v>28154.916666666668</v>
      </c>
      <c r="L115" s="376">
        <f>ROUND(L114/12,2)</f>
        <v>35846.92</v>
      </c>
      <c r="M115" s="381"/>
      <c r="N115" s="359"/>
      <c r="O115" s="361">
        <f>ROUND(O114/12,2)</f>
        <v>34637.230000000003</v>
      </c>
    </row>
    <row r="116" spans="1:15" ht="15" thickBot="1">
      <c r="A116" s="2156"/>
      <c r="B116" s="368" t="s">
        <v>201</v>
      </c>
      <c r="C116" s="372">
        <f>C114/12</f>
        <v>27571.083333333332</v>
      </c>
      <c r="D116" s="183">
        <f>ROUND(D115/160.33,2)</f>
        <v>218.95</v>
      </c>
      <c r="E116" s="375"/>
      <c r="F116" s="183">
        <f t="shared" ref="F116:O116" si="37">ROUND(F115/160.33,2)</f>
        <v>220.32</v>
      </c>
      <c r="G116" s="183">
        <f t="shared" si="37"/>
        <v>173.78</v>
      </c>
      <c r="H116" s="183">
        <f t="shared" si="37"/>
        <v>221.26</v>
      </c>
      <c r="I116" s="183">
        <f t="shared" si="37"/>
        <v>174.86</v>
      </c>
      <c r="J116" s="183">
        <f t="shared" si="37"/>
        <v>222.63</v>
      </c>
      <c r="K116" s="183">
        <f t="shared" si="37"/>
        <v>175.61</v>
      </c>
      <c r="L116" s="183">
        <f t="shared" si="37"/>
        <v>223.58</v>
      </c>
      <c r="M116" s="183">
        <f t="shared" si="37"/>
        <v>0</v>
      </c>
      <c r="N116" s="183">
        <f t="shared" si="37"/>
        <v>0</v>
      </c>
      <c r="O116" s="183">
        <f t="shared" si="37"/>
        <v>216.04</v>
      </c>
    </row>
    <row r="117" spans="1:15">
      <c r="A117" s="2155">
        <v>38</v>
      </c>
      <c r="B117" s="189" t="s">
        <v>93</v>
      </c>
      <c r="C117" s="185">
        <v>336808</v>
      </c>
      <c r="D117" s="178">
        <f>ROUND((C117*(1+'Løntabel gældende fra'!$D$7%)),0)</f>
        <v>428825</v>
      </c>
      <c r="E117" s="186">
        <v>338540</v>
      </c>
      <c r="F117" s="187">
        <f>ROUND((E117*(1+'Løntabel gældende fra'!$D$7%)),0)</f>
        <v>431030</v>
      </c>
      <c r="G117" s="185">
        <v>339739</v>
      </c>
      <c r="H117" s="178">
        <f>ROUND((G117*(1+'Løntabel gældende fra'!$D$7%)),0)</f>
        <v>432557</v>
      </c>
      <c r="I117" s="186">
        <v>341471</v>
      </c>
      <c r="J117" s="187">
        <f>ROUND((I117*(1+'Løntabel gældende fra'!$D$7%)),0)</f>
        <v>434762</v>
      </c>
      <c r="K117" s="185">
        <v>342672</v>
      </c>
      <c r="L117" s="178">
        <f>ROUND((K117*(1+'Løntabel gældende fra'!$D$7%)),0)</f>
        <v>436291</v>
      </c>
      <c r="M117" s="382"/>
      <c r="N117" s="360">
        <v>333128.88</v>
      </c>
      <c r="O117" s="192">
        <f>ROUND(N117*(1+'Løntabel gældende fra'!$D$7%),2)</f>
        <v>424141.02</v>
      </c>
    </row>
    <row r="118" spans="1:15">
      <c r="A118" s="2153"/>
      <c r="B118" s="366" t="s">
        <v>206</v>
      </c>
      <c r="C118" s="369"/>
      <c r="D118" s="376">
        <f>ROUND(D117/12,2)</f>
        <v>35735.42</v>
      </c>
      <c r="E118" s="373">
        <f>E117/12</f>
        <v>28211.666666666668</v>
      </c>
      <c r="F118" s="358">
        <f>ROUND(F117/12,2)</f>
        <v>35919.17</v>
      </c>
      <c r="G118" s="369">
        <f>G117/12</f>
        <v>28311.583333333332</v>
      </c>
      <c r="H118" s="376">
        <f>ROUND(H117/12,2)</f>
        <v>36046.42</v>
      </c>
      <c r="I118" s="373">
        <f>I117/12</f>
        <v>28455.916666666668</v>
      </c>
      <c r="J118" s="358">
        <f>ROUND(J117/12,2)</f>
        <v>36230.17</v>
      </c>
      <c r="K118" s="369">
        <f>K117/12</f>
        <v>28556</v>
      </c>
      <c r="L118" s="376">
        <f>ROUND(L117/12,2)</f>
        <v>36357.58</v>
      </c>
      <c r="M118" s="381"/>
      <c r="N118" s="359"/>
      <c r="O118" s="361">
        <f>ROUND(O117/12,2)</f>
        <v>35345.089999999997</v>
      </c>
    </row>
    <row r="119" spans="1:15" ht="15" thickBot="1">
      <c r="A119" s="2154"/>
      <c r="B119" s="367" t="s">
        <v>201</v>
      </c>
      <c r="C119" s="182">
        <f>C117/12</f>
        <v>28067.333333333332</v>
      </c>
      <c r="D119" s="183">
        <f>ROUND(D118/160.33,2)</f>
        <v>222.89</v>
      </c>
      <c r="E119" s="374"/>
      <c r="F119" s="183">
        <f t="shared" ref="F119:O119" si="38">ROUND(F118/160.33,2)</f>
        <v>224.03</v>
      </c>
      <c r="G119" s="183">
        <f t="shared" si="38"/>
        <v>176.58</v>
      </c>
      <c r="H119" s="183">
        <f t="shared" si="38"/>
        <v>224.83</v>
      </c>
      <c r="I119" s="183">
        <f t="shared" si="38"/>
        <v>177.48</v>
      </c>
      <c r="J119" s="183">
        <f t="shared" si="38"/>
        <v>225.97</v>
      </c>
      <c r="K119" s="183">
        <f t="shared" si="38"/>
        <v>178.11</v>
      </c>
      <c r="L119" s="183">
        <f t="shared" si="38"/>
        <v>226.77</v>
      </c>
      <c r="M119" s="183">
        <f t="shared" si="38"/>
        <v>0</v>
      </c>
      <c r="N119" s="183">
        <f t="shared" si="38"/>
        <v>0</v>
      </c>
      <c r="O119" s="183">
        <f t="shared" si="38"/>
        <v>220.45</v>
      </c>
    </row>
    <row r="120" spans="1:15">
      <c r="A120" s="2152">
        <v>39</v>
      </c>
      <c r="B120" s="188" t="s">
        <v>93</v>
      </c>
      <c r="C120" s="177">
        <v>342821</v>
      </c>
      <c r="D120" s="181">
        <f>ROUND((C120*(1+'Løntabel gældende fra'!$D$7%)),0)</f>
        <v>436481</v>
      </c>
      <c r="E120" s="179">
        <v>344156</v>
      </c>
      <c r="F120" s="180">
        <f>ROUND((E120*(1+'Løntabel gældende fra'!$D$7%)),0)</f>
        <v>438181</v>
      </c>
      <c r="G120" s="177">
        <v>345080</v>
      </c>
      <c r="H120" s="181">
        <f>ROUND((G120*(1+'Løntabel gældende fra'!$D$7%)),0)</f>
        <v>439357</v>
      </c>
      <c r="I120" s="179">
        <v>346413</v>
      </c>
      <c r="J120" s="180">
        <f>ROUND((I120*(1+'Løntabel gældende fra'!$D$7%)),0)</f>
        <v>441054</v>
      </c>
      <c r="K120" s="177">
        <v>347337</v>
      </c>
      <c r="L120" s="181">
        <f>ROUND((K120*(1+'Løntabel gældende fra'!$D$7%)),0)</f>
        <v>442231</v>
      </c>
      <c r="M120" s="383"/>
      <c r="N120" s="362">
        <v>339989.41</v>
      </c>
      <c r="O120" s="363">
        <f>ROUND(N120*(1+'Løntabel gældende fra'!$D$7%),2)</f>
        <v>432875.88</v>
      </c>
    </row>
    <row r="121" spans="1:15">
      <c r="A121" s="2153"/>
      <c r="B121" s="366" t="s">
        <v>206</v>
      </c>
      <c r="C121" s="369"/>
      <c r="D121" s="376">
        <f>ROUND(D120/12,2)</f>
        <v>36373.42</v>
      </c>
      <c r="E121" s="373">
        <f>E120/12</f>
        <v>28679.666666666668</v>
      </c>
      <c r="F121" s="358">
        <f>ROUND(F120/12,2)</f>
        <v>36515.08</v>
      </c>
      <c r="G121" s="369">
        <f>G120/12</f>
        <v>28756.666666666668</v>
      </c>
      <c r="H121" s="376">
        <f>ROUND(H120/12,2)</f>
        <v>36613.08</v>
      </c>
      <c r="I121" s="373">
        <f>I120/12</f>
        <v>28867.75</v>
      </c>
      <c r="J121" s="358">
        <f>ROUND(J120/12,2)</f>
        <v>36754.5</v>
      </c>
      <c r="K121" s="369">
        <f>K120/12</f>
        <v>28944.75</v>
      </c>
      <c r="L121" s="376">
        <f>ROUND(L120/12,2)</f>
        <v>36852.58</v>
      </c>
      <c r="M121" s="381"/>
      <c r="N121" s="359"/>
      <c r="O121" s="361">
        <f>ROUND(O120/12,2)</f>
        <v>36072.99</v>
      </c>
    </row>
    <row r="122" spans="1:15" ht="15" thickBot="1">
      <c r="A122" s="2156"/>
      <c r="B122" s="368" t="s">
        <v>201</v>
      </c>
      <c r="C122" s="372">
        <f>C120/12</f>
        <v>28568.416666666668</v>
      </c>
      <c r="D122" s="183">
        <f>ROUND(D121/160.33,2)</f>
        <v>226.87</v>
      </c>
      <c r="E122" s="375"/>
      <c r="F122" s="183">
        <f t="shared" ref="F122:O122" si="39">ROUND(F121/160.33,2)</f>
        <v>227.75</v>
      </c>
      <c r="G122" s="183">
        <f t="shared" si="39"/>
        <v>179.36</v>
      </c>
      <c r="H122" s="183">
        <f t="shared" si="39"/>
        <v>228.36</v>
      </c>
      <c r="I122" s="183">
        <f t="shared" si="39"/>
        <v>180.05</v>
      </c>
      <c r="J122" s="183">
        <f t="shared" si="39"/>
        <v>229.24</v>
      </c>
      <c r="K122" s="183">
        <f t="shared" si="39"/>
        <v>180.53</v>
      </c>
      <c r="L122" s="183">
        <f t="shared" si="39"/>
        <v>229.85</v>
      </c>
      <c r="M122" s="183">
        <f t="shared" si="39"/>
        <v>0</v>
      </c>
      <c r="N122" s="183">
        <f t="shared" si="39"/>
        <v>0</v>
      </c>
      <c r="O122" s="183">
        <f t="shared" si="39"/>
        <v>224.99</v>
      </c>
    </row>
    <row r="123" spans="1:15">
      <c r="A123" s="2155">
        <v>40</v>
      </c>
      <c r="B123" s="189" t="s">
        <v>93</v>
      </c>
      <c r="C123" s="185">
        <v>348966</v>
      </c>
      <c r="D123" s="178">
        <f>ROUND((C123*(1+'Løntabel gældende fra'!$D$7%)),0)</f>
        <v>444305</v>
      </c>
      <c r="E123" s="186">
        <v>349878</v>
      </c>
      <c r="F123" s="187">
        <f>ROUND((E123*(1+'Løntabel gældende fra'!$D$7%)),0)</f>
        <v>445466</v>
      </c>
      <c r="G123" s="185">
        <v>350510</v>
      </c>
      <c r="H123" s="178">
        <f>ROUND((G123*(1+'Løntabel gældende fra'!$D$7%)),0)</f>
        <v>446271</v>
      </c>
      <c r="I123" s="186">
        <v>351422</v>
      </c>
      <c r="J123" s="187">
        <f>ROUND((I123*(1+'Løntabel gældende fra'!$D$7%)),0)</f>
        <v>447432</v>
      </c>
      <c r="K123" s="185">
        <v>352054</v>
      </c>
      <c r="L123" s="178">
        <f>ROUND((K123*(1+'Løntabel gældende fra'!$D$7%)),0)</f>
        <v>448237</v>
      </c>
      <c r="M123" s="382"/>
      <c r="N123" s="360">
        <v>347027.46</v>
      </c>
      <c r="O123" s="192">
        <f>ROUND(N123*(1+'Løntabel gældende fra'!$D$7%),2)</f>
        <v>441836.75</v>
      </c>
    </row>
    <row r="124" spans="1:15">
      <c r="A124" s="2153"/>
      <c r="B124" s="366" t="s">
        <v>206</v>
      </c>
      <c r="C124" s="369"/>
      <c r="D124" s="376">
        <f>ROUND(D123/12,2)</f>
        <v>37025.42</v>
      </c>
      <c r="E124" s="373">
        <f>E123/12</f>
        <v>29156.5</v>
      </c>
      <c r="F124" s="358">
        <f>ROUND(F123/12,2)</f>
        <v>37122.17</v>
      </c>
      <c r="G124" s="369">
        <f>G123/12</f>
        <v>29209.166666666668</v>
      </c>
      <c r="H124" s="376">
        <f>ROUND(H123/12,2)</f>
        <v>37189.25</v>
      </c>
      <c r="I124" s="373">
        <f>I123/12</f>
        <v>29285.166666666668</v>
      </c>
      <c r="J124" s="358">
        <f>ROUND(J123/12,2)</f>
        <v>37286</v>
      </c>
      <c r="K124" s="369">
        <f>K123/12</f>
        <v>29337.833333333332</v>
      </c>
      <c r="L124" s="376">
        <f>ROUND(L123/12,2)</f>
        <v>37353.08</v>
      </c>
      <c r="M124" s="381"/>
      <c r="N124" s="359"/>
      <c r="O124" s="361">
        <f>ROUND(O123/12,2)</f>
        <v>36819.730000000003</v>
      </c>
    </row>
    <row r="125" spans="1:15" ht="15" thickBot="1">
      <c r="A125" s="2154"/>
      <c r="B125" s="367" t="s">
        <v>201</v>
      </c>
      <c r="C125" s="182">
        <f>C123/12</f>
        <v>29080.5</v>
      </c>
      <c r="D125" s="183">
        <f>ROUND(D124/160.33,2)</f>
        <v>230.93</v>
      </c>
      <c r="E125" s="374"/>
      <c r="F125" s="183">
        <f t="shared" ref="F125:O125" si="40">ROUND(F124/160.33,2)</f>
        <v>231.54</v>
      </c>
      <c r="G125" s="183">
        <f t="shared" si="40"/>
        <v>182.18</v>
      </c>
      <c r="H125" s="183">
        <f t="shared" si="40"/>
        <v>231.95</v>
      </c>
      <c r="I125" s="183">
        <f t="shared" si="40"/>
        <v>182.66</v>
      </c>
      <c r="J125" s="183">
        <f t="shared" si="40"/>
        <v>232.56</v>
      </c>
      <c r="K125" s="183">
        <f t="shared" si="40"/>
        <v>182.98</v>
      </c>
      <c r="L125" s="183">
        <f t="shared" si="40"/>
        <v>232.98</v>
      </c>
      <c r="M125" s="183">
        <f t="shared" si="40"/>
        <v>0</v>
      </c>
      <c r="N125" s="183">
        <f t="shared" si="40"/>
        <v>0</v>
      </c>
      <c r="O125" s="183">
        <f t="shared" si="40"/>
        <v>229.65</v>
      </c>
    </row>
    <row r="126" spans="1:15">
      <c r="A126" s="2152">
        <v>41</v>
      </c>
      <c r="B126" s="188" t="s">
        <v>93</v>
      </c>
      <c r="C126" s="177">
        <v>355245</v>
      </c>
      <c r="D126" s="181">
        <f>ROUND((C126*(1+'Løntabel gældende fra'!$D$7%)),0)</f>
        <v>452299</v>
      </c>
      <c r="E126" s="179">
        <v>355712</v>
      </c>
      <c r="F126" s="180">
        <f>ROUND((E126*(1+'Løntabel gældende fra'!$D$7%)),0)</f>
        <v>452894</v>
      </c>
      <c r="G126" s="177">
        <v>356037</v>
      </c>
      <c r="H126" s="181">
        <f>ROUND((G126*(1+'Løntabel gældende fra'!$D$7%)),0)</f>
        <v>453308</v>
      </c>
      <c r="I126" s="179">
        <v>356505</v>
      </c>
      <c r="J126" s="180">
        <f>ROUND((I126*(1+'Løntabel gældende fra'!$D$7%)),0)</f>
        <v>453904</v>
      </c>
      <c r="K126" s="177">
        <v>356828</v>
      </c>
      <c r="L126" s="181">
        <f>ROUND((K126*(1+'Løntabel gældende fra'!$D$7%)),0)</f>
        <v>454315</v>
      </c>
      <c r="M126" s="383"/>
      <c r="N126" s="362">
        <v>354249.23</v>
      </c>
      <c r="O126" s="363">
        <f>ROUND(N126*(1+'Løntabel gældende fra'!$D$7%),2)</f>
        <v>451031.54</v>
      </c>
    </row>
    <row r="127" spans="1:15">
      <c r="A127" s="2153"/>
      <c r="B127" s="366" t="s">
        <v>206</v>
      </c>
      <c r="C127" s="369"/>
      <c r="D127" s="376">
        <f>ROUND(D126/12,2)</f>
        <v>37691.58</v>
      </c>
      <c r="E127" s="373">
        <f>E126/12</f>
        <v>29642.666666666668</v>
      </c>
      <c r="F127" s="358">
        <f>ROUND(F126/12,2)</f>
        <v>37741.17</v>
      </c>
      <c r="G127" s="369">
        <f>G126/12</f>
        <v>29669.75</v>
      </c>
      <c r="H127" s="376">
        <f>ROUND(H126/12,2)</f>
        <v>37775.67</v>
      </c>
      <c r="I127" s="373">
        <f>I126/12</f>
        <v>29708.75</v>
      </c>
      <c r="J127" s="358">
        <f>ROUND(J126/12,2)</f>
        <v>37825.33</v>
      </c>
      <c r="K127" s="369">
        <f>K126/12</f>
        <v>29735.666666666668</v>
      </c>
      <c r="L127" s="376">
        <f>ROUND(L126/12,2)</f>
        <v>37859.58</v>
      </c>
      <c r="M127" s="381"/>
      <c r="N127" s="359"/>
      <c r="O127" s="361">
        <f>ROUND(O126/12,2)</f>
        <v>37585.96</v>
      </c>
    </row>
    <row r="128" spans="1:15" ht="15" thickBot="1">
      <c r="A128" s="2156"/>
      <c r="B128" s="368" t="s">
        <v>201</v>
      </c>
      <c r="C128" s="372">
        <f>C126/12</f>
        <v>29603.75</v>
      </c>
      <c r="D128" s="183">
        <f>ROUND(D127/160.33,2)</f>
        <v>235.09</v>
      </c>
      <c r="E128" s="375"/>
      <c r="F128" s="183">
        <f t="shared" ref="F128:O128" si="41">ROUND(F127/160.33,2)</f>
        <v>235.4</v>
      </c>
      <c r="G128" s="183">
        <f t="shared" si="41"/>
        <v>185.05</v>
      </c>
      <c r="H128" s="183">
        <f t="shared" si="41"/>
        <v>235.61</v>
      </c>
      <c r="I128" s="183">
        <f t="shared" si="41"/>
        <v>185.3</v>
      </c>
      <c r="J128" s="183">
        <f t="shared" si="41"/>
        <v>235.92</v>
      </c>
      <c r="K128" s="183">
        <f t="shared" si="41"/>
        <v>185.47</v>
      </c>
      <c r="L128" s="183">
        <f t="shared" si="41"/>
        <v>236.14</v>
      </c>
      <c r="M128" s="183">
        <f t="shared" si="41"/>
        <v>0</v>
      </c>
      <c r="N128" s="183">
        <f t="shared" si="41"/>
        <v>0</v>
      </c>
      <c r="O128" s="183">
        <f t="shared" si="41"/>
        <v>234.43</v>
      </c>
    </row>
    <row r="129" spans="1:15">
      <c r="A129" s="2155">
        <v>42</v>
      </c>
      <c r="B129" s="189" t="s">
        <v>93</v>
      </c>
      <c r="C129" s="185">
        <v>361660</v>
      </c>
      <c r="D129" s="178">
        <f>ROUND((C129*(1+'Løntabel gældende fra'!$D$7%)),0)</f>
        <v>460467</v>
      </c>
      <c r="E129" s="186">
        <v>361660</v>
      </c>
      <c r="F129" s="187">
        <f>ROUND((E129*(1+'Løntabel gældende fra'!$D$7%)),0)</f>
        <v>460467</v>
      </c>
      <c r="G129" s="185">
        <v>361660</v>
      </c>
      <c r="H129" s="178">
        <f>ROUND((G129*(1+'Løntabel gældende fra'!$D$7%)),0)</f>
        <v>460467</v>
      </c>
      <c r="I129" s="186">
        <v>361660</v>
      </c>
      <c r="J129" s="187">
        <f>ROUND((I129*(1+'Løntabel gældende fra'!$D$7%)),0)</f>
        <v>460467</v>
      </c>
      <c r="K129" s="185">
        <v>361660</v>
      </c>
      <c r="L129" s="178">
        <f>ROUND((K129*(1+'Løntabel gældende fra'!$D$7%)),0)</f>
        <v>460467</v>
      </c>
      <c r="M129" s="382"/>
      <c r="N129" s="360">
        <v>361659.2</v>
      </c>
      <c r="O129" s="192">
        <f>ROUND(N129*(1+'Løntabel gældende fra'!$D$7%),2)</f>
        <v>460465.94</v>
      </c>
    </row>
    <row r="130" spans="1:15">
      <c r="A130" s="2153"/>
      <c r="B130" s="366" t="s">
        <v>206</v>
      </c>
      <c r="C130" s="369"/>
      <c r="D130" s="376">
        <f>ROUND(D129/12,2)</f>
        <v>38372.25</v>
      </c>
      <c r="E130" s="373">
        <f>E129/12</f>
        <v>30138.333333333332</v>
      </c>
      <c r="F130" s="358">
        <f>ROUND(F129/12,2)</f>
        <v>38372.25</v>
      </c>
      <c r="G130" s="369">
        <f>G129/12</f>
        <v>30138.333333333332</v>
      </c>
      <c r="H130" s="376">
        <f>ROUND(H129/12,2)</f>
        <v>38372.25</v>
      </c>
      <c r="I130" s="373">
        <f>I129/12</f>
        <v>30138.333333333332</v>
      </c>
      <c r="J130" s="358">
        <f>ROUND(J129/12,2)</f>
        <v>38372.25</v>
      </c>
      <c r="K130" s="369">
        <f>K129/12</f>
        <v>30138.333333333332</v>
      </c>
      <c r="L130" s="376">
        <f>ROUND(L129/12,2)</f>
        <v>38372.25</v>
      </c>
      <c r="M130" s="381"/>
      <c r="N130" s="359"/>
      <c r="O130" s="361">
        <f>ROUND(O129/12,2)</f>
        <v>38372.160000000003</v>
      </c>
    </row>
    <row r="131" spans="1:15" ht="15" thickBot="1">
      <c r="A131" s="2154"/>
      <c r="B131" s="367" t="s">
        <v>201</v>
      </c>
      <c r="C131" s="182">
        <f>C129/12</f>
        <v>30138.333333333332</v>
      </c>
      <c r="D131" s="183">
        <f>ROUND(D130/160.33,2)</f>
        <v>239.33</v>
      </c>
      <c r="E131" s="374"/>
      <c r="F131" s="183">
        <f t="shared" ref="F131:O131" si="42">ROUND(F130/160.33,2)</f>
        <v>239.33</v>
      </c>
      <c r="G131" s="183">
        <f t="shared" si="42"/>
        <v>187.98</v>
      </c>
      <c r="H131" s="183">
        <f t="shared" si="42"/>
        <v>239.33</v>
      </c>
      <c r="I131" s="183">
        <f t="shared" si="42"/>
        <v>187.98</v>
      </c>
      <c r="J131" s="183">
        <f t="shared" si="42"/>
        <v>239.33</v>
      </c>
      <c r="K131" s="183">
        <f t="shared" si="42"/>
        <v>187.98</v>
      </c>
      <c r="L131" s="183">
        <f t="shared" si="42"/>
        <v>239.33</v>
      </c>
      <c r="M131" s="183">
        <f t="shared" si="42"/>
        <v>0</v>
      </c>
      <c r="N131" s="183">
        <f t="shared" si="42"/>
        <v>0</v>
      </c>
      <c r="O131" s="183">
        <f t="shared" si="42"/>
        <v>239.33</v>
      </c>
    </row>
    <row r="132" spans="1:15">
      <c r="A132" s="2152">
        <v>43</v>
      </c>
      <c r="B132" s="188" t="s">
        <v>93</v>
      </c>
      <c r="C132" s="177">
        <v>369689</v>
      </c>
      <c r="D132" s="181">
        <f>ROUND((C132*(1+'Løntabel gældende fra'!$D$7%)),0)</f>
        <v>470690</v>
      </c>
      <c r="E132" s="179">
        <v>369689</v>
      </c>
      <c r="F132" s="180">
        <f>ROUND((E132*(1+'Løntabel gældende fra'!$D$7%)),0)</f>
        <v>470690</v>
      </c>
      <c r="G132" s="177">
        <v>369689</v>
      </c>
      <c r="H132" s="181">
        <f>ROUND((G132*(1+'Løntabel gældende fra'!$D$7%)),0)</f>
        <v>470690</v>
      </c>
      <c r="I132" s="179">
        <v>369689</v>
      </c>
      <c r="J132" s="180">
        <f>ROUND((I132*(1+'Løntabel gældende fra'!$D$7%)),0)</f>
        <v>470690</v>
      </c>
      <c r="K132" s="177">
        <v>369689</v>
      </c>
      <c r="L132" s="181">
        <f>ROUND((K132*(1+'Løntabel gældende fra'!$D$7%)),0)</f>
        <v>470690</v>
      </c>
      <c r="M132" s="383"/>
      <c r="N132" s="362">
        <v>369688.53</v>
      </c>
      <c r="O132" s="363">
        <f>ROUND(N132*(1+'Løntabel gældende fra'!$D$7%),2)</f>
        <v>470688.92</v>
      </c>
    </row>
    <row r="133" spans="1:15">
      <c r="A133" s="2153"/>
      <c r="B133" s="366" t="s">
        <v>206</v>
      </c>
      <c r="C133" s="369"/>
      <c r="D133" s="376">
        <f>ROUND(D132/12,2)</f>
        <v>39224.17</v>
      </c>
      <c r="E133" s="373">
        <f>E132/12</f>
        <v>30807.416666666668</v>
      </c>
      <c r="F133" s="358">
        <f>ROUND(F132/12,2)</f>
        <v>39224.17</v>
      </c>
      <c r="G133" s="369">
        <f>G132/12</f>
        <v>30807.416666666668</v>
      </c>
      <c r="H133" s="376">
        <f>ROUND(H132/12,2)</f>
        <v>39224.17</v>
      </c>
      <c r="I133" s="373">
        <f>I132/12</f>
        <v>30807.416666666668</v>
      </c>
      <c r="J133" s="358">
        <f>ROUND(J132/12,2)</f>
        <v>39224.17</v>
      </c>
      <c r="K133" s="369">
        <f>K132/12</f>
        <v>30807.416666666668</v>
      </c>
      <c r="L133" s="376">
        <f>ROUND(L132/12,2)</f>
        <v>39224.17</v>
      </c>
      <c r="M133" s="381"/>
      <c r="N133" s="359"/>
      <c r="O133" s="361">
        <f>ROUND(O132/12,2)</f>
        <v>39224.080000000002</v>
      </c>
    </row>
    <row r="134" spans="1:15" ht="15" thickBot="1">
      <c r="A134" s="2156"/>
      <c r="B134" s="368" t="s">
        <v>201</v>
      </c>
      <c r="C134" s="372">
        <f>C132/12</f>
        <v>30807.416666666668</v>
      </c>
      <c r="D134" s="183">
        <f>ROUND(D133/160.33,2)</f>
        <v>244.65</v>
      </c>
      <c r="E134" s="375"/>
      <c r="F134" s="183">
        <f t="shared" ref="F134:O134" si="43">ROUND(F133/160.33,2)</f>
        <v>244.65</v>
      </c>
      <c r="G134" s="183">
        <f t="shared" si="43"/>
        <v>192.15</v>
      </c>
      <c r="H134" s="183">
        <f t="shared" si="43"/>
        <v>244.65</v>
      </c>
      <c r="I134" s="183">
        <f t="shared" si="43"/>
        <v>192.15</v>
      </c>
      <c r="J134" s="183">
        <f t="shared" si="43"/>
        <v>244.65</v>
      </c>
      <c r="K134" s="183">
        <f t="shared" si="43"/>
        <v>192.15</v>
      </c>
      <c r="L134" s="183">
        <f t="shared" si="43"/>
        <v>244.65</v>
      </c>
      <c r="M134" s="183">
        <f t="shared" si="43"/>
        <v>0</v>
      </c>
      <c r="N134" s="183">
        <f t="shared" si="43"/>
        <v>0</v>
      </c>
      <c r="O134" s="183">
        <f t="shared" si="43"/>
        <v>244.65</v>
      </c>
    </row>
    <row r="135" spans="1:15">
      <c r="A135" s="2155">
        <v>44</v>
      </c>
      <c r="B135" s="189" t="s">
        <v>93</v>
      </c>
      <c r="C135" s="185">
        <v>377937</v>
      </c>
      <c r="D135" s="178">
        <f>ROUND((C135*(1+'Løntabel gældende fra'!$D$7%)),0)</f>
        <v>481191</v>
      </c>
      <c r="E135" s="186">
        <v>377937</v>
      </c>
      <c r="F135" s="187">
        <f>ROUND((E135*(1+'Løntabel gældende fra'!$D$7%)),0)</f>
        <v>481191</v>
      </c>
      <c r="G135" s="185">
        <v>377937</v>
      </c>
      <c r="H135" s="178">
        <f>ROUND((G135*(1+'Løntabel gældende fra'!$D$7%)),0)</f>
        <v>481191</v>
      </c>
      <c r="I135" s="186">
        <v>377937</v>
      </c>
      <c r="J135" s="187">
        <f>ROUND((I135*(1+'Løntabel gældende fra'!$D$7%)),0)</f>
        <v>481191</v>
      </c>
      <c r="K135" s="185">
        <v>377937</v>
      </c>
      <c r="L135" s="178">
        <f>ROUND((K135*(1+'Løntabel gældende fra'!$D$7%)),0)</f>
        <v>481191</v>
      </c>
      <c r="M135" s="382"/>
      <c r="N135" s="360">
        <v>377937.3</v>
      </c>
      <c r="O135" s="192">
        <f>ROUND(N135*(1+'Løntabel gældende fra'!$D$7%),2)</f>
        <v>481191.28</v>
      </c>
    </row>
    <row r="136" spans="1:15">
      <c r="A136" s="2153"/>
      <c r="B136" s="366" t="s">
        <v>206</v>
      </c>
      <c r="C136" s="369"/>
      <c r="D136" s="376">
        <f>ROUND(D135/12,2)</f>
        <v>40099.25</v>
      </c>
      <c r="E136" s="373">
        <f>E135/12</f>
        <v>31494.75</v>
      </c>
      <c r="F136" s="358">
        <f>ROUND(F135/12,2)</f>
        <v>40099.25</v>
      </c>
      <c r="G136" s="369">
        <f>G135/12</f>
        <v>31494.75</v>
      </c>
      <c r="H136" s="376">
        <f>ROUND(H135/12,2)</f>
        <v>40099.25</v>
      </c>
      <c r="I136" s="373">
        <f>I135/12</f>
        <v>31494.75</v>
      </c>
      <c r="J136" s="358">
        <f>ROUND(J135/12,2)</f>
        <v>40099.25</v>
      </c>
      <c r="K136" s="369">
        <f>K135/12</f>
        <v>31494.75</v>
      </c>
      <c r="L136" s="376">
        <f>ROUND(L135/12,2)</f>
        <v>40099.25</v>
      </c>
      <c r="M136" s="381"/>
      <c r="N136" s="359"/>
      <c r="O136" s="361">
        <f>ROUND(O135/12,2)</f>
        <v>40099.269999999997</v>
      </c>
    </row>
    <row r="137" spans="1:15" ht="15" thickBot="1">
      <c r="A137" s="2154"/>
      <c r="B137" s="367" t="s">
        <v>201</v>
      </c>
      <c r="C137" s="182">
        <f>C135/12</f>
        <v>31494.75</v>
      </c>
      <c r="D137" s="183">
        <f>ROUND(D136/160.33,2)</f>
        <v>250.1</v>
      </c>
      <c r="E137" s="374"/>
      <c r="F137" s="183">
        <f t="shared" ref="F137:O137" si="44">ROUND(F136/160.33,2)</f>
        <v>250.1</v>
      </c>
      <c r="G137" s="183">
        <f t="shared" si="44"/>
        <v>196.44</v>
      </c>
      <c r="H137" s="183">
        <f t="shared" si="44"/>
        <v>250.1</v>
      </c>
      <c r="I137" s="183">
        <f t="shared" si="44"/>
        <v>196.44</v>
      </c>
      <c r="J137" s="183">
        <f t="shared" si="44"/>
        <v>250.1</v>
      </c>
      <c r="K137" s="183">
        <f t="shared" si="44"/>
        <v>196.44</v>
      </c>
      <c r="L137" s="183">
        <f t="shared" si="44"/>
        <v>250.1</v>
      </c>
      <c r="M137" s="183">
        <f t="shared" si="44"/>
        <v>0</v>
      </c>
      <c r="N137" s="183">
        <f t="shared" si="44"/>
        <v>0</v>
      </c>
      <c r="O137" s="183">
        <f t="shared" si="44"/>
        <v>250.1</v>
      </c>
    </row>
    <row r="138" spans="1:15">
      <c r="A138" s="2155">
        <v>45</v>
      </c>
      <c r="B138" s="189" t="s">
        <v>93</v>
      </c>
      <c r="C138" s="185">
        <v>386414</v>
      </c>
      <c r="D138" s="178">
        <f>ROUND((C138*(1+'Løntabel gældende fra'!$D$7%)),0)</f>
        <v>491984</v>
      </c>
      <c r="E138" s="186">
        <v>386414</v>
      </c>
      <c r="F138" s="187">
        <f>ROUND((E138*(1+'Løntabel gældende fra'!$D$7%)),0)</f>
        <v>491984</v>
      </c>
      <c r="G138" s="185">
        <v>386414</v>
      </c>
      <c r="H138" s="178">
        <f>ROUND((G138*(1+'Løntabel gældende fra'!$D$7%)),0)</f>
        <v>491984</v>
      </c>
      <c r="I138" s="186">
        <v>386414</v>
      </c>
      <c r="J138" s="187">
        <f>ROUND((I138*(1+'Løntabel gældende fra'!$D$7%)),0)</f>
        <v>491984</v>
      </c>
      <c r="K138" s="185">
        <v>386414</v>
      </c>
      <c r="L138" s="178">
        <f>ROUND((K138*(1+'Løntabel gældende fra'!$D$7%)),0)</f>
        <v>491984</v>
      </c>
      <c r="M138" s="382"/>
      <c r="N138" s="360">
        <v>386414.29</v>
      </c>
      <c r="O138" s="192">
        <f>ROUND(N138*(1+'Løntabel gældende fra'!$D$7%),2)</f>
        <v>491984.22</v>
      </c>
    </row>
    <row r="139" spans="1:15">
      <c r="A139" s="2153"/>
      <c r="B139" s="366" t="s">
        <v>206</v>
      </c>
      <c r="C139" s="369"/>
      <c r="D139" s="376">
        <f>ROUND(D138/12,2)</f>
        <v>40998.67</v>
      </c>
      <c r="E139" s="373">
        <f>E138/12</f>
        <v>32201.166666666668</v>
      </c>
      <c r="F139" s="358">
        <f>ROUND(F138/12,2)</f>
        <v>40998.67</v>
      </c>
      <c r="G139" s="369">
        <f>G138/12</f>
        <v>32201.166666666668</v>
      </c>
      <c r="H139" s="376">
        <f>ROUND(H138/12,2)</f>
        <v>40998.67</v>
      </c>
      <c r="I139" s="373">
        <f>I138/12</f>
        <v>32201.166666666668</v>
      </c>
      <c r="J139" s="358">
        <f>ROUND(J138/12,2)</f>
        <v>40998.67</v>
      </c>
      <c r="K139" s="369">
        <f>K138/12</f>
        <v>32201.166666666668</v>
      </c>
      <c r="L139" s="376">
        <f>ROUND(L138/12,2)</f>
        <v>40998.67</v>
      </c>
      <c r="M139" s="381"/>
      <c r="N139" s="359"/>
      <c r="O139" s="361">
        <f>ROUND(O138/12,2)</f>
        <v>40998.69</v>
      </c>
    </row>
    <row r="140" spans="1:15" ht="15" thickBot="1">
      <c r="A140" s="2154"/>
      <c r="B140" s="367" t="s">
        <v>201</v>
      </c>
      <c r="C140" s="182">
        <f>C138/12</f>
        <v>32201.166666666668</v>
      </c>
      <c r="D140" s="183">
        <f>ROUND(D139/160.33,2)</f>
        <v>255.71</v>
      </c>
      <c r="E140" s="374"/>
      <c r="F140" s="183">
        <f t="shared" ref="F140:O140" si="45">ROUND(F139/160.33,2)</f>
        <v>255.71</v>
      </c>
      <c r="G140" s="183">
        <f t="shared" si="45"/>
        <v>200.84</v>
      </c>
      <c r="H140" s="183">
        <f t="shared" si="45"/>
        <v>255.71</v>
      </c>
      <c r="I140" s="183">
        <f t="shared" si="45"/>
        <v>200.84</v>
      </c>
      <c r="J140" s="183">
        <f t="shared" si="45"/>
        <v>255.71</v>
      </c>
      <c r="K140" s="183">
        <f t="shared" si="45"/>
        <v>200.84</v>
      </c>
      <c r="L140" s="183">
        <f t="shared" si="45"/>
        <v>255.71</v>
      </c>
      <c r="M140" s="183">
        <f t="shared" si="45"/>
        <v>0</v>
      </c>
      <c r="N140" s="183">
        <f t="shared" si="45"/>
        <v>0</v>
      </c>
      <c r="O140" s="183">
        <f t="shared" si="45"/>
        <v>255.71</v>
      </c>
    </row>
    <row r="141" spans="1:15">
      <c r="A141" s="2155">
        <v>46</v>
      </c>
      <c r="B141" s="189" t="s">
        <v>93</v>
      </c>
      <c r="C141" s="185">
        <v>395125</v>
      </c>
      <c r="D141" s="178">
        <f>ROUND((C141*(1+'Løntabel gældende fra'!$D$7%)),0)</f>
        <v>503075</v>
      </c>
      <c r="E141" s="186">
        <v>395125</v>
      </c>
      <c r="F141" s="187">
        <f>ROUND((E141*(1+'Løntabel gældende fra'!$D$7%)),0)</f>
        <v>503075</v>
      </c>
      <c r="G141" s="185">
        <v>395125</v>
      </c>
      <c r="H141" s="178">
        <f>ROUND((G141*(1+'Løntabel gældende fra'!$D$7%)),0)</f>
        <v>503075</v>
      </c>
      <c r="I141" s="186">
        <v>395125</v>
      </c>
      <c r="J141" s="187">
        <f>ROUND((I141*(1+'Løntabel gældende fra'!$D$7%)),0)</f>
        <v>503075</v>
      </c>
      <c r="K141" s="185">
        <v>395125</v>
      </c>
      <c r="L141" s="178">
        <f>ROUND((K141*(1+'Løntabel gældende fra'!$D$7%)),0)</f>
        <v>503075</v>
      </c>
      <c r="M141" s="382"/>
      <c r="N141" s="360">
        <v>395124.74</v>
      </c>
      <c r="O141" s="192">
        <f>ROUND(N141*(1+'Løntabel gældende fra'!$D$7%),2)</f>
        <v>503074.4</v>
      </c>
    </row>
    <row r="142" spans="1:15">
      <c r="A142" s="2153"/>
      <c r="B142" s="366" t="s">
        <v>94</v>
      </c>
      <c r="C142" s="369"/>
      <c r="D142" s="376">
        <f>ROUND(D141/12,2)</f>
        <v>41922.92</v>
      </c>
      <c r="E142" s="373">
        <f>E141/12</f>
        <v>32927.083333333336</v>
      </c>
      <c r="F142" s="358">
        <f>ROUND(F141/12,2)</f>
        <v>41922.92</v>
      </c>
      <c r="G142" s="369">
        <f>G141/12</f>
        <v>32927.083333333336</v>
      </c>
      <c r="H142" s="376">
        <f>ROUND(H141/12,2)</f>
        <v>41922.92</v>
      </c>
      <c r="I142" s="373">
        <f>I141/12</f>
        <v>32927.083333333336</v>
      </c>
      <c r="J142" s="358">
        <f>ROUND(J141/12,2)</f>
        <v>41922.92</v>
      </c>
      <c r="K142" s="369">
        <f>K141/12</f>
        <v>32927.083333333336</v>
      </c>
      <c r="L142" s="376">
        <f>ROUND(L141/12,2)</f>
        <v>41922.92</v>
      </c>
      <c r="M142" s="381"/>
      <c r="N142" s="359"/>
      <c r="O142" s="361">
        <f>ROUND(O141/12,2)</f>
        <v>41922.870000000003</v>
      </c>
    </row>
    <row r="143" spans="1:15" ht="15" thickBot="1">
      <c r="A143" s="2154"/>
      <c r="B143" s="367" t="s">
        <v>201</v>
      </c>
      <c r="C143" s="182">
        <f>C141/12</f>
        <v>32927.083333333336</v>
      </c>
      <c r="D143" s="183">
        <f>ROUND(D142/160.33,2)</f>
        <v>261.48</v>
      </c>
      <c r="E143" s="374"/>
      <c r="F143" s="183">
        <f t="shared" ref="F143:O143" si="46">ROUND(F142/160.33,2)</f>
        <v>261.48</v>
      </c>
      <c r="G143" s="183">
        <f t="shared" si="46"/>
        <v>205.37</v>
      </c>
      <c r="H143" s="183">
        <f t="shared" si="46"/>
        <v>261.48</v>
      </c>
      <c r="I143" s="183">
        <f t="shared" si="46"/>
        <v>205.37</v>
      </c>
      <c r="J143" s="183">
        <f t="shared" si="46"/>
        <v>261.48</v>
      </c>
      <c r="K143" s="183">
        <f t="shared" si="46"/>
        <v>205.37</v>
      </c>
      <c r="L143" s="183">
        <f t="shared" si="46"/>
        <v>261.48</v>
      </c>
      <c r="M143" s="183">
        <f t="shared" si="46"/>
        <v>0</v>
      </c>
      <c r="N143" s="183">
        <f t="shared" si="46"/>
        <v>0</v>
      </c>
      <c r="O143" s="183">
        <f t="shared" si="46"/>
        <v>261.48</v>
      </c>
    </row>
    <row r="144" spans="1:15">
      <c r="A144" s="2152">
        <v>47</v>
      </c>
      <c r="B144" s="188" t="s">
        <v>93</v>
      </c>
      <c r="C144" s="177">
        <v>413269</v>
      </c>
      <c r="D144" s="181">
        <f>ROUND((C144*(1+'Løntabel gældende fra'!$D$7%)),0)</f>
        <v>526176</v>
      </c>
      <c r="E144" s="179">
        <v>413269</v>
      </c>
      <c r="F144" s="180">
        <f>ROUND((E144*(1+'Løntabel gældende fra'!$D$7%)),0)</f>
        <v>526176</v>
      </c>
      <c r="G144" s="177">
        <v>413269</v>
      </c>
      <c r="H144" s="181">
        <f>ROUND((G144*(1+'Løntabel gældende fra'!$D$7%)),0)</f>
        <v>526176</v>
      </c>
      <c r="I144" s="179">
        <v>413269</v>
      </c>
      <c r="J144" s="180">
        <f>ROUND((I144*(1+'Løntabel gældende fra'!$D$7%)),0)</f>
        <v>526176</v>
      </c>
      <c r="K144" s="177">
        <v>413269</v>
      </c>
      <c r="L144" s="181">
        <f>ROUND((K144*(1+'Løntabel gældende fra'!$D$7%)),0)</f>
        <v>526176</v>
      </c>
      <c r="M144" s="383"/>
      <c r="N144" s="362">
        <v>413268.87</v>
      </c>
      <c r="O144" s="363">
        <f>ROUND(N144*(1+'Løntabel gældende fra'!$D$7%),2)</f>
        <v>526175.57999999996</v>
      </c>
    </row>
    <row r="145" spans="1:15">
      <c r="A145" s="2153"/>
      <c r="B145" s="366" t="s">
        <v>206</v>
      </c>
      <c r="C145" s="369"/>
      <c r="D145" s="376">
        <f>ROUND(D144/12,2)</f>
        <v>43848</v>
      </c>
      <c r="E145" s="373">
        <f>E144/12</f>
        <v>34439.083333333336</v>
      </c>
      <c r="F145" s="358">
        <f>ROUND(F144/12,2)</f>
        <v>43848</v>
      </c>
      <c r="G145" s="369">
        <f>G144/12</f>
        <v>34439.083333333336</v>
      </c>
      <c r="H145" s="376">
        <f>ROUND(H144/12,2)</f>
        <v>43848</v>
      </c>
      <c r="I145" s="373">
        <f>I144/12</f>
        <v>34439.083333333336</v>
      </c>
      <c r="J145" s="358">
        <f>ROUND(J144/12,2)</f>
        <v>43848</v>
      </c>
      <c r="K145" s="369">
        <f>K144/12</f>
        <v>34439.083333333336</v>
      </c>
      <c r="L145" s="376">
        <f>ROUND(L144/12,2)</f>
        <v>43848</v>
      </c>
      <c r="M145" s="381"/>
      <c r="N145" s="359"/>
      <c r="O145" s="361">
        <f>ROUND(O144/12,2)</f>
        <v>43847.97</v>
      </c>
    </row>
    <row r="146" spans="1:15" ht="15" thickBot="1">
      <c r="A146" s="2156"/>
      <c r="B146" s="368" t="s">
        <v>201</v>
      </c>
      <c r="C146" s="372">
        <f>C144/12</f>
        <v>34439.083333333336</v>
      </c>
      <c r="D146" s="183">
        <f>ROUND(D145/160.33,2)</f>
        <v>273.49</v>
      </c>
      <c r="E146" s="375"/>
      <c r="F146" s="183">
        <f t="shared" ref="F146:O146" si="47">ROUND(F145/160.33,2)</f>
        <v>273.49</v>
      </c>
      <c r="G146" s="183">
        <f t="shared" si="47"/>
        <v>214.8</v>
      </c>
      <c r="H146" s="183">
        <f t="shared" si="47"/>
        <v>273.49</v>
      </c>
      <c r="I146" s="183">
        <f t="shared" si="47"/>
        <v>214.8</v>
      </c>
      <c r="J146" s="183">
        <f t="shared" si="47"/>
        <v>273.49</v>
      </c>
      <c r="K146" s="183">
        <f t="shared" si="47"/>
        <v>214.8</v>
      </c>
      <c r="L146" s="183">
        <f t="shared" si="47"/>
        <v>273.49</v>
      </c>
      <c r="M146" s="183">
        <f t="shared" si="47"/>
        <v>0</v>
      </c>
      <c r="N146" s="183">
        <f t="shared" si="47"/>
        <v>0</v>
      </c>
      <c r="O146" s="183">
        <f t="shared" si="47"/>
        <v>273.49</v>
      </c>
    </row>
    <row r="147" spans="1:15">
      <c r="A147" s="2155">
        <v>48</v>
      </c>
      <c r="B147" s="189" t="s">
        <v>93</v>
      </c>
      <c r="C147" s="185">
        <v>441027</v>
      </c>
      <c r="D147" s="178">
        <f>ROUND((C147*(1+'Løntabel gældende fra'!$D$7%)),0)</f>
        <v>561517</v>
      </c>
      <c r="E147" s="186">
        <v>441027</v>
      </c>
      <c r="F147" s="187">
        <f>ROUND((E147*(1+'Løntabel gældende fra'!$D$7%)),0)</f>
        <v>561517</v>
      </c>
      <c r="G147" s="185">
        <v>441027</v>
      </c>
      <c r="H147" s="178">
        <f>ROUND((G147*(1+'Løntabel gældende fra'!$D$7%)),0)</f>
        <v>561517</v>
      </c>
      <c r="I147" s="186">
        <v>441027</v>
      </c>
      <c r="J147" s="187">
        <f>ROUND((I147*(1+'Løntabel gældende fra'!$D$7%)),0)</f>
        <v>561517</v>
      </c>
      <c r="K147" s="185">
        <v>441027</v>
      </c>
      <c r="L147" s="178">
        <f>ROUND((K147*(1+'Løntabel gældende fra'!$D$7%)),0)</f>
        <v>561517</v>
      </c>
      <c r="M147" s="382"/>
      <c r="N147" s="360">
        <v>441025.75</v>
      </c>
      <c r="O147" s="192">
        <f>ROUND(N147*(1+'Løntabel gældende fra'!$D$7%),2)</f>
        <v>561515.75</v>
      </c>
    </row>
    <row r="148" spans="1:15">
      <c r="A148" s="2153"/>
      <c r="B148" s="366" t="s">
        <v>206</v>
      </c>
      <c r="C148" s="369"/>
      <c r="D148" s="376">
        <f>ROUND(D147/12,2)</f>
        <v>46793.08</v>
      </c>
      <c r="E148" s="373">
        <f>E147/12</f>
        <v>36752.25</v>
      </c>
      <c r="F148" s="358">
        <f>ROUND(F147/12,2)</f>
        <v>46793.08</v>
      </c>
      <c r="G148" s="369">
        <f>G147/12</f>
        <v>36752.25</v>
      </c>
      <c r="H148" s="376">
        <f>ROUND(H147/12,2)</f>
        <v>46793.08</v>
      </c>
      <c r="I148" s="373">
        <f>I147/12</f>
        <v>36752.25</v>
      </c>
      <c r="J148" s="358">
        <f>ROUND(J147/12,2)</f>
        <v>46793.08</v>
      </c>
      <c r="K148" s="369">
        <f>K147/12</f>
        <v>36752.25</v>
      </c>
      <c r="L148" s="376">
        <f>ROUND(L147/12,2)</f>
        <v>46793.08</v>
      </c>
      <c r="M148" s="381"/>
      <c r="N148" s="359"/>
      <c r="O148" s="361">
        <f>ROUND(O147/12,2)</f>
        <v>46792.98</v>
      </c>
    </row>
    <row r="149" spans="1:15" ht="15" thickBot="1">
      <c r="A149" s="2154"/>
      <c r="B149" s="367" t="s">
        <v>201</v>
      </c>
      <c r="C149" s="182">
        <f>C147/12</f>
        <v>36752.25</v>
      </c>
      <c r="D149" s="183">
        <f>ROUND(D148/160.33,2)</f>
        <v>291.85000000000002</v>
      </c>
      <c r="E149" s="374"/>
      <c r="F149" s="183">
        <f t="shared" ref="F149:O149" si="48">ROUND(F148/160.33,2)</f>
        <v>291.85000000000002</v>
      </c>
      <c r="G149" s="183">
        <f t="shared" si="48"/>
        <v>229.23</v>
      </c>
      <c r="H149" s="183">
        <f t="shared" si="48"/>
        <v>291.85000000000002</v>
      </c>
      <c r="I149" s="183">
        <f t="shared" si="48"/>
        <v>229.23</v>
      </c>
      <c r="J149" s="183">
        <f t="shared" si="48"/>
        <v>291.85000000000002</v>
      </c>
      <c r="K149" s="183">
        <f t="shared" si="48"/>
        <v>229.23</v>
      </c>
      <c r="L149" s="183">
        <f t="shared" si="48"/>
        <v>291.85000000000002</v>
      </c>
      <c r="M149" s="183">
        <f t="shared" si="48"/>
        <v>0</v>
      </c>
      <c r="N149" s="183">
        <f t="shared" si="48"/>
        <v>0</v>
      </c>
      <c r="O149" s="183">
        <f t="shared" si="48"/>
        <v>291.85000000000002</v>
      </c>
    </row>
    <row r="150" spans="1:15">
      <c r="A150" s="2152">
        <v>49</v>
      </c>
      <c r="B150" s="188" t="s">
        <v>93</v>
      </c>
      <c r="C150" s="177">
        <v>471781</v>
      </c>
      <c r="D150" s="181">
        <f>ROUND((C150*(1+'Løntabel gældende fra'!$D$7%)),0)</f>
        <v>600673</v>
      </c>
      <c r="E150" s="179">
        <v>471781</v>
      </c>
      <c r="F150" s="180">
        <f>ROUND((E150*(1+'Løntabel gældende fra'!$D$7%)),0)</f>
        <v>600673</v>
      </c>
      <c r="G150" s="177">
        <v>471781</v>
      </c>
      <c r="H150" s="181">
        <f>ROUND((G150*(1+'Løntabel gældende fra'!$D$7%)),0)</f>
        <v>600673</v>
      </c>
      <c r="I150" s="179">
        <v>471781</v>
      </c>
      <c r="J150" s="180">
        <f>ROUND((I150*(1+'Løntabel gældende fra'!$D$7%)),0)</f>
        <v>600673</v>
      </c>
      <c r="K150" s="177">
        <v>471781</v>
      </c>
      <c r="L150" s="181">
        <f>ROUND((K150*(1+'Løntabel gældende fra'!$D$7%)),0)</f>
        <v>600673</v>
      </c>
      <c r="M150" s="383"/>
      <c r="N150" s="362">
        <v>471780.9</v>
      </c>
      <c r="O150" s="363">
        <f>ROUND(N150*(1+'Løntabel gældende fra'!$D$7%),2)</f>
        <v>600673.32999999996</v>
      </c>
    </row>
    <row r="151" spans="1:15">
      <c r="A151" s="2153"/>
      <c r="B151" s="366" t="s">
        <v>206</v>
      </c>
      <c r="C151" s="369"/>
      <c r="D151" s="376">
        <f>ROUND(D150/12,2)</f>
        <v>50056.08</v>
      </c>
      <c r="E151" s="373">
        <f>E150/12</f>
        <v>39315.083333333336</v>
      </c>
      <c r="F151" s="358">
        <f>ROUND(F150/12,2)</f>
        <v>50056.08</v>
      </c>
      <c r="G151" s="369">
        <f>G150/12</f>
        <v>39315.083333333336</v>
      </c>
      <c r="H151" s="376">
        <f>ROUND(H150/12,2)</f>
        <v>50056.08</v>
      </c>
      <c r="I151" s="373">
        <f>I150/12</f>
        <v>39315.083333333336</v>
      </c>
      <c r="J151" s="358">
        <f>ROUND(J150/12,2)</f>
        <v>50056.08</v>
      </c>
      <c r="K151" s="369">
        <f>K150/12</f>
        <v>39315.083333333336</v>
      </c>
      <c r="L151" s="376">
        <f>ROUND(L150/12,2)</f>
        <v>50056.08</v>
      </c>
      <c r="M151" s="381"/>
      <c r="N151" s="359"/>
      <c r="O151" s="361">
        <f>ROUND(O150/12,2)</f>
        <v>50056.11</v>
      </c>
    </row>
    <row r="152" spans="1:15" ht="15" thickBot="1">
      <c r="A152" s="2156"/>
      <c r="B152" s="368" t="s">
        <v>201</v>
      </c>
      <c r="C152" s="372">
        <f>C150/12</f>
        <v>39315.083333333336</v>
      </c>
      <c r="D152" s="183">
        <f>ROUND(D151/160.33,2)</f>
        <v>312.20999999999998</v>
      </c>
      <c r="E152" s="375"/>
      <c r="F152" s="183">
        <f t="shared" ref="F152:O152" si="49">ROUND(F151/160.33,2)</f>
        <v>312.20999999999998</v>
      </c>
      <c r="G152" s="183">
        <f t="shared" si="49"/>
        <v>245.21</v>
      </c>
      <c r="H152" s="183">
        <f t="shared" si="49"/>
        <v>312.20999999999998</v>
      </c>
      <c r="I152" s="183">
        <f t="shared" si="49"/>
        <v>245.21</v>
      </c>
      <c r="J152" s="183">
        <f t="shared" si="49"/>
        <v>312.20999999999998</v>
      </c>
      <c r="K152" s="183">
        <f t="shared" si="49"/>
        <v>245.21</v>
      </c>
      <c r="L152" s="183">
        <f t="shared" si="49"/>
        <v>312.20999999999998</v>
      </c>
      <c r="M152" s="183">
        <f t="shared" si="49"/>
        <v>0</v>
      </c>
      <c r="N152" s="183">
        <f t="shared" si="49"/>
        <v>0</v>
      </c>
      <c r="O152" s="183">
        <f t="shared" si="49"/>
        <v>312.20999999999998</v>
      </c>
    </row>
    <row r="153" spans="1:15">
      <c r="A153" s="2155">
        <v>50</v>
      </c>
      <c r="B153" s="189" t="s">
        <v>93</v>
      </c>
      <c r="C153" s="185">
        <v>521094</v>
      </c>
      <c r="D153" s="178">
        <f>ROUND((C153*(1+'Løntabel gældende fra'!$D$7%)),0)</f>
        <v>663459</v>
      </c>
      <c r="E153" s="186">
        <v>521094</v>
      </c>
      <c r="F153" s="187">
        <f>ROUND((E153*(1+'Løntabel gældende fra'!$D$7%)),0)</f>
        <v>663459</v>
      </c>
      <c r="G153" s="378">
        <v>521094</v>
      </c>
      <c r="H153" s="178">
        <f>ROUND((G153*(1+'Løntabel gældende fra'!$D$7%)),0)</f>
        <v>663459</v>
      </c>
      <c r="I153" s="379">
        <v>521094</v>
      </c>
      <c r="J153" s="187">
        <f>ROUND((I153*(1+'Løntabel gældende fra'!$D$7%)),0)</f>
        <v>663459</v>
      </c>
      <c r="K153" s="378">
        <v>521094</v>
      </c>
      <c r="L153" s="178">
        <f>ROUND((K153*(1+'Løntabel gældende fra'!$D$7%)),0)</f>
        <v>663459</v>
      </c>
      <c r="M153" s="382"/>
      <c r="N153" s="360">
        <v>521094.47</v>
      </c>
      <c r="O153" s="192">
        <f>ROUND(N153*(1+'Løntabel gældende fra'!$D$7%),2)</f>
        <v>663459.56000000006</v>
      </c>
    </row>
    <row r="154" spans="1:15">
      <c r="A154" s="2153"/>
      <c r="B154" s="366" t="s">
        <v>206</v>
      </c>
      <c r="C154" s="369"/>
      <c r="D154" s="376">
        <f>ROUND(D153/12,2)</f>
        <v>55288.25</v>
      </c>
      <c r="E154" s="373">
        <f>E153/12</f>
        <v>43424.5</v>
      </c>
      <c r="F154" s="358">
        <f>ROUND(F153/12,2)</f>
        <v>55288.25</v>
      </c>
      <c r="G154" s="369">
        <f>G153/12</f>
        <v>43424.5</v>
      </c>
      <c r="H154" s="376">
        <f>ROUND(H153/12,2)</f>
        <v>55288.25</v>
      </c>
      <c r="I154" s="373">
        <f>I153/12</f>
        <v>43424.5</v>
      </c>
      <c r="J154" s="358">
        <f>ROUND(J153/12,2)</f>
        <v>55288.25</v>
      </c>
      <c r="K154" s="369">
        <f>K153/12</f>
        <v>43424.5</v>
      </c>
      <c r="L154" s="376">
        <f>ROUND(L153/12,2)</f>
        <v>55288.25</v>
      </c>
      <c r="M154" s="381"/>
      <c r="N154" s="359"/>
      <c r="O154" s="361">
        <f>ROUND(O153/12,2)</f>
        <v>55288.3</v>
      </c>
    </row>
    <row r="155" spans="1:15" ht="15" thickBot="1">
      <c r="A155" s="2154"/>
      <c r="B155" s="367" t="s">
        <v>201</v>
      </c>
      <c r="C155" s="182">
        <f>C153/12</f>
        <v>43424.5</v>
      </c>
      <c r="D155" s="183">
        <f>ROUND(D154/160.33,2)</f>
        <v>344.84</v>
      </c>
      <c r="E155" s="374"/>
      <c r="F155" s="183">
        <f t="shared" ref="F155:O155" si="50">ROUND(F154/160.33,2)</f>
        <v>344.84</v>
      </c>
      <c r="G155" s="183">
        <f t="shared" si="50"/>
        <v>270.83999999999997</v>
      </c>
      <c r="H155" s="183">
        <f t="shared" si="50"/>
        <v>344.84</v>
      </c>
      <c r="I155" s="183">
        <f t="shared" si="50"/>
        <v>270.83999999999997</v>
      </c>
      <c r="J155" s="183">
        <f t="shared" si="50"/>
        <v>344.84</v>
      </c>
      <c r="K155" s="183">
        <f t="shared" si="50"/>
        <v>270.83999999999997</v>
      </c>
      <c r="L155" s="183">
        <f t="shared" si="50"/>
        <v>344.84</v>
      </c>
      <c r="M155" s="183">
        <f t="shared" si="50"/>
        <v>0</v>
      </c>
      <c r="N155" s="183">
        <f t="shared" si="50"/>
        <v>0</v>
      </c>
      <c r="O155" s="183">
        <f t="shared" si="50"/>
        <v>344.84</v>
      </c>
    </row>
    <row r="156" spans="1:15">
      <c r="A156" s="2152">
        <v>51</v>
      </c>
      <c r="B156" s="188" t="s">
        <v>93</v>
      </c>
      <c r="C156" s="177">
        <v>592911</v>
      </c>
      <c r="D156" s="181">
        <f>ROUND((C156*(1+'Løntabel gældende fra'!$D$7%)),0)</f>
        <v>754897</v>
      </c>
      <c r="E156" s="179">
        <v>592911</v>
      </c>
      <c r="F156" s="180">
        <f>ROUND((E156*(1+'Løntabel gældende fra'!$D$7%)),0)</f>
        <v>754897</v>
      </c>
      <c r="G156" s="190">
        <v>592911</v>
      </c>
      <c r="H156" s="181">
        <f>ROUND((G156*(1+'Løntabel gældende fra'!$D$7%)),0)</f>
        <v>754897</v>
      </c>
      <c r="I156" s="191">
        <v>592911</v>
      </c>
      <c r="J156" s="180">
        <f>ROUND((I156*(1+'Løntabel gældende fra'!$D$7%)),0)</f>
        <v>754897</v>
      </c>
      <c r="K156" s="190">
        <v>592911</v>
      </c>
      <c r="L156" s="181">
        <f>ROUND((K156*(1+'Løntabel gældende fra'!$D$7%)),0)</f>
        <v>754897</v>
      </c>
      <c r="M156" s="383"/>
      <c r="N156" s="362">
        <v>592911.94999999995</v>
      </c>
      <c r="O156" s="363">
        <f>ROUND(N156*(1+'Løntabel gældende fra'!$D$7%),2)</f>
        <v>754897.87</v>
      </c>
    </row>
    <row r="157" spans="1:15">
      <c r="A157" s="2153"/>
      <c r="B157" s="366" t="s">
        <v>94</v>
      </c>
      <c r="C157" s="369"/>
      <c r="D157" s="376">
        <f>ROUND(D156/12,2)</f>
        <v>62908.08</v>
      </c>
      <c r="E157" s="373">
        <f>E156/12</f>
        <v>49409.25</v>
      </c>
      <c r="F157" s="358">
        <f>ROUND(F156/12,2)</f>
        <v>62908.08</v>
      </c>
      <c r="G157" s="369">
        <f>G156/12</f>
        <v>49409.25</v>
      </c>
      <c r="H157" s="376">
        <f>ROUND(H156/12,2)</f>
        <v>62908.08</v>
      </c>
      <c r="I157" s="373">
        <f>I156/12</f>
        <v>49409.25</v>
      </c>
      <c r="J157" s="358">
        <f>ROUND(J156/12,2)</f>
        <v>62908.08</v>
      </c>
      <c r="K157" s="369">
        <f>K156/12</f>
        <v>49409.25</v>
      </c>
      <c r="L157" s="376">
        <f>ROUND(L156/12,2)</f>
        <v>62908.08</v>
      </c>
      <c r="M157" s="381"/>
      <c r="N157" s="359"/>
      <c r="O157" s="361">
        <f>ROUND(O156/12,2)</f>
        <v>62908.160000000003</v>
      </c>
    </row>
    <row r="158" spans="1:15" ht="15" thickBot="1">
      <c r="A158" s="2154"/>
      <c r="B158" s="367" t="s">
        <v>201</v>
      </c>
      <c r="C158" s="182">
        <f>C156/12</f>
        <v>49409.25</v>
      </c>
      <c r="D158" s="183">
        <f>ROUND(D157/160.33,2)</f>
        <v>392.37</v>
      </c>
      <c r="E158" s="374"/>
      <c r="F158" s="183">
        <f t="shared" ref="F158:O158" si="51">ROUND(F157/160.33,2)</f>
        <v>392.37</v>
      </c>
      <c r="G158" s="183">
        <f t="shared" si="51"/>
        <v>308.17</v>
      </c>
      <c r="H158" s="183">
        <f t="shared" si="51"/>
        <v>392.37</v>
      </c>
      <c r="I158" s="183">
        <f t="shared" si="51"/>
        <v>308.17</v>
      </c>
      <c r="J158" s="183">
        <f t="shared" si="51"/>
        <v>392.37</v>
      </c>
      <c r="K158" s="183">
        <f t="shared" si="51"/>
        <v>308.17</v>
      </c>
      <c r="L158" s="183">
        <f t="shared" si="51"/>
        <v>392.37</v>
      </c>
      <c r="M158" s="183">
        <f t="shared" si="51"/>
        <v>0</v>
      </c>
      <c r="N158" s="183">
        <f t="shared" si="51"/>
        <v>0</v>
      </c>
      <c r="O158" s="183">
        <f t="shared" si="51"/>
        <v>392.37</v>
      </c>
    </row>
  </sheetData>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91"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8"/>
  <sheetViews>
    <sheetView view="pageBreakPreview" zoomScale="125" zoomScaleNormal="125" zoomScalePageLayoutView="125" workbookViewId="0">
      <selection activeCell="D2" sqref="D2"/>
    </sheetView>
  </sheetViews>
  <sheetFormatPr defaultColWidth="11.33203125" defaultRowHeight="14.4"/>
  <cols>
    <col min="2" max="2" width="11.109375" customWidth="1"/>
    <col min="3" max="3" width="15.33203125" customWidth="1"/>
    <col min="4" max="4" width="11.33203125" customWidth="1"/>
    <col min="6" max="6" width="20" customWidth="1"/>
    <col min="7" max="7" width="16.33203125" customWidth="1"/>
    <col min="8" max="8" width="8.109375" customWidth="1"/>
  </cols>
  <sheetData>
    <row r="1" spans="1:9">
      <c r="A1" t="s">
        <v>31</v>
      </c>
      <c r="C1" s="5"/>
      <c r="D1" s="574" t="s">
        <v>569</v>
      </c>
    </row>
    <row r="3" spans="1:9" ht="21">
      <c r="A3" s="19" t="s">
        <v>25</v>
      </c>
      <c r="B3" s="20"/>
      <c r="C3" s="20"/>
      <c r="D3" s="20"/>
      <c r="E3" s="20"/>
      <c r="F3" s="20"/>
      <c r="G3" s="20"/>
    </row>
    <row r="4" spans="1:9">
      <c r="A4" s="20"/>
      <c r="B4" s="20"/>
      <c r="C4" s="20"/>
      <c r="D4" s="20"/>
      <c r="E4" s="20"/>
      <c r="F4" s="20"/>
      <c r="G4" s="20"/>
      <c r="H4" s="2"/>
      <c r="I4" s="2"/>
    </row>
    <row r="5" spans="1:9" ht="17.399999999999999">
      <c r="A5" s="17" t="s">
        <v>26</v>
      </c>
      <c r="B5" s="20"/>
      <c r="C5" s="20"/>
      <c r="D5" s="20"/>
      <c r="E5" s="20"/>
      <c r="F5" s="20"/>
      <c r="G5" s="20"/>
      <c r="H5" s="2"/>
      <c r="I5" s="2"/>
    </row>
    <row r="6" spans="1:9">
      <c r="A6" s="20"/>
      <c r="B6" s="20"/>
      <c r="C6" s="20"/>
      <c r="D6" s="20"/>
      <c r="E6" s="20"/>
      <c r="F6" s="20"/>
      <c r="G6" s="20"/>
      <c r="H6" s="2"/>
      <c r="I6" s="2"/>
    </row>
    <row r="7" spans="1:9" ht="15.6">
      <c r="A7" s="2166" t="s">
        <v>29</v>
      </c>
      <c r="B7" s="2166"/>
      <c r="C7" s="563">
        <v>46113</v>
      </c>
      <c r="D7" s="28">
        <v>27.320399999999999</v>
      </c>
      <c r="E7" s="27" t="s">
        <v>33</v>
      </c>
      <c r="F7" s="27"/>
      <c r="G7" s="131">
        <v>46477</v>
      </c>
      <c r="H7" s="2"/>
      <c r="I7" s="2"/>
    </row>
    <row r="8" spans="1:9">
      <c r="A8" s="20"/>
      <c r="B8" s="20"/>
      <c r="C8" s="14"/>
      <c r="D8" s="20"/>
      <c r="E8" s="20"/>
      <c r="F8" s="20"/>
      <c r="G8" s="20"/>
      <c r="H8" s="2"/>
      <c r="I8" s="2"/>
    </row>
    <row r="9" spans="1:9" ht="15" thickBot="1">
      <c r="A9" s="21" t="s">
        <v>30</v>
      </c>
      <c r="B9" s="20"/>
      <c r="C9" s="20"/>
      <c r="D9" s="20"/>
      <c r="E9" s="20"/>
      <c r="F9" s="20"/>
      <c r="G9" s="20"/>
      <c r="H9" s="2"/>
      <c r="I9" s="2"/>
    </row>
    <row r="10" spans="1:9">
      <c r="A10" s="22" t="s">
        <v>27</v>
      </c>
      <c r="B10" s="23" t="s">
        <v>28</v>
      </c>
      <c r="C10" s="2167" t="s">
        <v>32</v>
      </c>
      <c r="D10" s="2167"/>
      <c r="E10" s="2167"/>
      <c r="F10" s="2167"/>
      <c r="G10" s="2167"/>
      <c r="H10" s="2"/>
      <c r="I10" s="2"/>
    </row>
    <row r="11" spans="1:9">
      <c r="A11" s="201">
        <v>40999</v>
      </c>
      <c r="B11" s="29">
        <v>1</v>
      </c>
      <c r="C11" s="2167"/>
      <c r="D11" s="2167"/>
      <c r="E11" s="2167"/>
      <c r="F11" s="2167"/>
      <c r="G11" s="2167"/>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202">
        <v>41730</v>
      </c>
      <c r="B14" s="18">
        <v>1.7161999999999999</v>
      </c>
      <c r="C14" s="20"/>
      <c r="D14" s="20"/>
      <c r="E14" s="20"/>
      <c r="F14" s="20"/>
      <c r="G14" s="20"/>
      <c r="H14" s="2"/>
      <c r="I14" s="2"/>
    </row>
    <row r="15" spans="1:9">
      <c r="A15" s="202">
        <v>42095</v>
      </c>
      <c r="B15" s="18">
        <v>2.1745000000000001</v>
      </c>
      <c r="C15" s="20"/>
      <c r="D15" s="20"/>
      <c r="E15" s="20"/>
      <c r="F15" s="20"/>
      <c r="G15" s="20"/>
      <c r="H15" s="2"/>
      <c r="I15" s="2"/>
    </row>
    <row r="16" spans="1:9">
      <c r="A16" s="202">
        <v>42461</v>
      </c>
      <c r="B16" s="18">
        <v>2.9882</v>
      </c>
      <c r="C16" s="20"/>
      <c r="D16" s="20"/>
      <c r="E16" s="20"/>
      <c r="F16" s="20"/>
      <c r="G16" s="20"/>
      <c r="H16" s="2"/>
      <c r="I16" s="2"/>
    </row>
    <row r="17" spans="1:12">
      <c r="A17" s="202">
        <v>42826</v>
      </c>
      <c r="B17" s="18">
        <v>4.2446000000000002</v>
      </c>
      <c r="C17" s="20"/>
      <c r="D17" s="20"/>
      <c r="E17" s="20"/>
      <c r="F17" s="20"/>
      <c r="G17" s="20"/>
      <c r="H17" s="2"/>
      <c r="I17" s="2"/>
      <c r="L17" s="13"/>
    </row>
    <row r="18" spans="1:12">
      <c r="A18" s="202">
        <v>43070</v>
      </c>
      <c r="B18" s="18">
        <v>5.7702999999999998</v>
      </c>
      <c r="C18" s="20"/>
      <c r="D18" s="20"/>
      <c r="E18" s="20"/>
      <c r="F18" s="27"/>
      <c r="G18" s="20"/>
      <c r="H18" s="2"/>
      <c r="I18" s="2"/>
    </row>
    <row r="19" spans="1:12">
      <c r="A19" s="686">
        <v>43191</v>
      </c>
      <c r="B19" s="687">
        <v>6.9683000000000002</v>
      </c>
      <c r="C19" s="20"/>
      <c r="D19" s="20"/>
      <c r="E19" s="20"/>
      <c r="F19" s="20"/>
      <c r="G19" s="20"/>
      <c r="H19" s="2"/>
      <c r="I19" s="2"/>
    </row>
    <row r="20" spans="1:12">
      <c r="A20" s="686">
        <v>43373</v>
      </c>
      <c r="B20" s="687">
        <v>7.4972000000000003</v>
      </c>
      <c r="C20" s="20"/>
      <c r="D20" s="20"/>
      <c r="E20" s="20"/>
      <c r="F20" s="20"/>
      <c r="G20" s="20"/>
      <c r="H20" s="2"/>
      <c r="I20" s="2"/>
    </row>
    <row r="21" spans="1:12">
      <c r="A21" s="686">
        <v>43556</v>
      </c>
      <c r="B21" s="687">
        <v>8.4910999999999994</v>
      </c>
      <c r="C21" s="20"/>
      <c r="D21" s="20"/>
      <c r="E21" s="20"/>
      <c r="F21" s="20"/>
      <c r="G21" s="20"/>
      <c r="H21" s="2"/>
      <c r="I21" s="2"/>
    </row>
    <row r="22" spans="1:12">
      <c r="A22" s="686">
        <v>43739</v>
      </c>
      <c r="B22" s="687">
        <v>9.4007000000000005</v>
      </c>
      <c r="C22" s="20"/>
      <c r="D22" s="20"/>
      <c r="E22" s="20"/>
      <c r="F22" s="20"/>
      <c r="G22" s="20"/>
      <c r="H22" s="2"/>
      <c r="I22" s="2"/>
    </row>
    <row r="23" spans="1:12">
      <c r="A23" s="686">
        <v>43922</v>
      </c>
      <c r="B23" s="687">
        <v>10.323600000000001</v>
      </c>
      <c r="C23" s="20"/>
      <c r="D23" s="20"/>
      <c r="E23" s="20"/>
      <c r="F23" s="20"/>
      <c r="G23" s="20"/>
      <c r="H23" s="2"/>
      <c r="I23" s="2"/>
    </row>
    <row r="24" spans="1:12">
      <c r="A24" s="686">
        <v>44228</v>
      </c>
      <c r="B24" s="687">
        <v>10.2211</v>
      </c>
      <c r="C24" s="20"/>
      <c r="D24" s="20"/>
      <c r="E24" s="20"/>
      <c r="F24" s="20"/>
      <c r="G24" s="20"/>
      <c r="H24" s="2"/>
      <c r="I24" s="2"/>
    </row>
    <row r="25" spans="1:12">
      <c r="A25" s="686">
        <v>44287</v>
      </c>
      <c r="B25" s="687">
        <v>11.1029</v>
      </c>
      <c r="C25" s="20"/>
      <c r="D25" s="20"/>
      <c r="E25" s="20"/>
      <c r="F25" s="20"/>
      <c r="G25" s="20"/>
      <c r="H25" s="2"/>
      <c r="I25" s="2"/>
    </row>
    <row r="26" spans="1:12">
      <c r="A26" s="686">
        <v>44470</v>
      </c>
      <c r="B26" s="687">
        <v>11.4336</v>
      </c>
      <c r="C26" s="20"/>
      <c r="D26" s="20"/>
      <c r="E26" s="20"/>
      <c r="F26" s="20"/>
      <c r="G26" s="20"/>
      <c r="H26" s="2"/>
      <c r="I26" s="2"/>
    </row>
    <row r="27" spans="1:12">
      <c r="A27" s="686">
        <v>44652</v>
      </c>
      <c r="B27" s="687">
        <v>13.410399999999999</v>
      </c>
      <c r="C27" s="20"/>
      <c r="D27" s="20"/>
      <c r="E27" s="20"/>
      <c r="F27" s="20"/>
      <c r="G27" s="20"/>
      <c r="H27" s="2"/>
      <c r="I27" s="2"/>
    </row>
    <row r="28" spans="1:12">
      <c r="A28" s="686">
        <v>44835</v>
      </c>
      <c r="B28" s="687">
        <v>13.741099999999999</v>
      </c>
      <c r="C28" s="20"/>
      <c r="D28" s="20"/>
      <c r="E28" s="20"/>
      <c r="F28" s="20"/>
      <c r="G28" s="20"/>
      <c r="H28" s="2"/>
      <c r="I28" s="2"/>
    </row>
    <row r="29" spans="1:12">
      <c r="A29" s="686">
        <v>45017</v>
      </c>
      <c r="B29" s="687">
        <v>15.533899999999999</v>
      </c>
      <c r="C29" s="20"/>
      <c r="D29" s="20"/>
      <c r="E29" s="20"/>
      <c r="F29" s="20"/>
      <c r="G29" s="20"/>
      <c r="H29" s="2"/>
      <c r="I29" s="2"/>
    </row>
    <row r="30" spans="1:12">
      <c r="A30" s="686">
        <v>45200</v>
      </c>
      <c r="B30" s="687">
        <v>15.919700000000001</v>
      </c>
      <c r="C30" s="20"/>
      <c r="D30" s="20"/>
      <c r="E30" s="20"/>
      <c r="F30" s="20"/>
      <c r="G30" s="20"/>
      <c r="H30" s="2"/>
      <c r="I30" s="2"/>
    </row>
    <row r="31" spans="1:12">
      <c r="A31" s="686">
        <v>45383</v>
      </c>
      <c r="B31" s="687">
        <v>22.806699999999999</v>
      </c>
      <c r="C31" s="20"/>
      <c r="D31" s="20"/>
      <c r="E31" s="20"/>
      <c r="F31" s="20"/>
      <c r="G31" s="20"/>
      <c r="H31" s="2"/>
      <c r="I31" s="2"/>
    </row>
    <row r="32" spans="1:12">
      <c r="A32" s="686">
        <v>45748</v>
      </c>
      <c r="B32" s="687">
        <v>23.3095</v>
      </c>
      <c r="C32" s="20"/>
      <c r="D32" s="20"/>
      <c r="E32" s="20"/>
      <c r="F32" s="20"/>
      <c r="G32" s="20"/>
      <c r="H32" s="2"/>
      <c r="I32" s="2"/>
    </row>
    <row r="33" spans="1:9">
      <c r="A33" s="686">
        <v>45962</v>
      </c>
      <c r="B33" s="687">
        <v>24.912600000000001</v>
      </c>
      <c r="C33" s="20"/>
      <c r="D33" s="20"/>
      <c r="E33" s="20"/>
      <c r="F33" s="20"/>
      <c r="G33" s="20"/>
      <c r="H33" s="2"/>
      <c r="I33" s="2"/>
    </row>
    <row r="34" spans="1:9">
      <c r="A34" s="686">
        <v>46113</v>
      </c>
      <c r="B34" s="687">
        <v>26.508500000000002</v>
      </c>
      <c r="C34" s="20"/>
      <c r="D34" s="20"/>
      <c r="E34" s="20"/>
      <c r="F34" s="20"/>
      <c r="G34" s="20"/>
      <c r="H34" s="2"/>
      <c r="I34" s="2"/>
    </row>
    <row r="35" spans="1:9" ht="15" thickBot="1">
      <c r="A35" s="971">
        <v>46235</v>
      </c>
      <c r="B35" s="972">
        <v>27.320399999999999</v>
      </c>
      <c r="C35" s="20"/>
      <c r="D35" s="20"/>
      <c r="E35" s="20"/>
      <c r="F35" s="20"/>
      <c r="G35" s="20"/>
      <c r="H35" s="2"/>
      <c r="I35" s="2"/>
    </row>
    <row r="36" spans="1:9">
      <c r="A36" s="832"/>
      <c r="B36" s="7"/>
      <c r="C36" s="20"/>
      <c r="D36" s="20"/>
      <c r="E36" s="20"/>
      <c r="F36" s="20"/>
      <c r="G36" s="20"/>
      <c r="H36" s="2"/>
      <c r="I36" s="2"/>
    </row>
    <row r="37" spans="1:9">
      <c r="A37" s="832"/>
      <c r="B37" s="7"/>
      <c r="C37" s="20"/>
      <c r="D37" s="20"/>
      <c r="E37" s="20"/>
      <c r="F37" s="20"/>
      <c r="G37" s="20"/>
      <c r="H37" s="2"/>
      <c r="I37" s="2"/>
    </row>
    <row r="38" spans="1:9">
      <c r="A38" s="832"/>
      <c r="B38" s="7"/>
      <c r="C38" s="20"/>
      <c r="D38" s="20"/>
      <c r="E38" s="20"/>
      <c r="F38" s="20"/>
      <c r="G38" s="20"/>
      <c r="H38" s="2"/>
      <c r="I38" s="2"/>
    </row>
  </sheetData>
  <mergeCells count="2">
    <mergeCell ref="A7:B7"/>
    <mergeCell ref="C10:G11"/>
  </mergeCells>
  <phoneticPr fontId="7" type="noConversion"/>
  <pageMargins left="0.75000000000000011" right="0.75000000000000011" top="0.98" bottom="0.98" header="0.51" footer="0.51"/>
  <pageSetup paperSize="9" scale="88"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D38" sqref="D38"/>
    </sheetView>
  </sheetViews>
  <sheetFormatPr defaultColWidth="11.33203125" defaultRowHeight="14.4"/>
  <cols>
    <col min="1" max="1" width="11.33203125" customWidth="1"/>
    <col min="2" max="2" width="60.109375" customWidth="1"/>
    <col min="3" max="3" width="12.33203125" customWidth="1"/>
    <col min="4" max="4" width="12.6640625" customWidth="1"/>
    <col min="5" max="6" width="13" customWidth="1"/>
    <col min="7" max="7" width="14.77734375" customWidth="1"/>
    <col min="9" max="9" width="9.33203125" customWidth="1"/>
  </cols>
  <sheetData>
    <row r="1" spans="1:9">
      <c r="A1" s="1019" t="s">
        <v>255</v>
      </c>
      <c r="B1" s="1025" t="s">
        <v>247</v>
      </c>
      <c r="C1" s="1025"/>
      <c r="D1" s="1025"/>
      <c r="E1" s="1025"/>
      <c r="F1" s="1025"/>
      <c r="G1" s="1025"/>
      <c r="H1" s="1025"/>
      <c r="I1" s="1026"/>
    </row>
    <row r="2" spans="1:9" ht="15" thickBot="1">
      <c r="A2" s="1020"/>
      <c r="B2" s="1027"/>
      <c r="C2" s="1027"/>
      <c r="D2" s="1027"/>
      <c r="E2" s="1027"/>
      <c r="F2" s="1027"/>
      <c r="G2" s="1027"/>
      <c r="H2" s="1027"/>
      <c r="I2" s="1028"/>
    </row>
    <row r="3" spans="1:9" ht="42" customHeight="1" thickBot="1">
      <c r="A3" s="1020"/>
      <c r="B3" s="1011" t="s">
        <v>257</v>
      </c>
      <c r="C3" s="1012"/>
      <c r="D3" s="1012"/>
      <c r="E3" s="1012"/>
      <c r="F3" s="1012"/>
      <c r="G3" s="1012"/>
      <c r="H3" s="1012"/>
      <c r="I3" s="1013"/>
    </row>
    <row r="4" spans="1:9" ht="15" customHeight="1">
      <c r="A4" s="1020"/>
      <c r="B4" s="467" t="s">
        <v>245</v>
      </c>
      <c r="C4" s="488" t="s">
        <v>230</v>
      </c>
      <c r="D4" s="489" t="s">
        <v>231</v>
      </c>
      <c r="E4" s="489" t="s">
        <v>232</v>
      </c>
      <c r="F4" s="488" t="s">
        <v>233</v>
      </c>
      <c r="G4" s="1040" t="s">
        <v>259</v>
      </c>
      <c r="H4" s="1040" t="s">
        <v>261</v>
      </c>
      <c r="I4" s="1042" t="s">
        <v>238</v>
      </c>
    </row>
    <row r="5" spans="1:9" ht="42" thickBot="1">
      <c r="A5" s="1020"/>
      <c r="B5" s="468" t="s">
        <v>244</v>
      </c>
      <c r="C5" s="490" t="s">
        <v>249</v>
      </c>
      <c r="D5" s="490" t="s">
        <v>250</v>
      </c>
      <c r="E5" s="490" t="s">
        <v>251</v>
      </c>
      <c r="F5" s="490" t="s">
        <v>252</v>
      </c>
      <c r="G5" s="1041"/>
      <c r="H5" s="1041"/>
      <c r="I5" s="1043"/>
    </row>
    <row r="6" spans="1:9">
      <c r="A6" s="1020"/>
      <c r="B6" s="383" t="s">
        <v>234</v>
      </c>
      <c r="C6" s="462" t="s">
        <v>235</v>
      </c>
      <c r="D6" s="462" t="s">
        <v>235</v>
      </c>
      <c r="E6" s="462" t="s">
        <v>235</v>
      </c>
      <c r="F6" s="462" t="s">
        <v>235</v>
      </c>
      <c r="G6" s="462" t="s">
        <v>240</v>
      </c>
      <c r="H6" s="462" t="s">
        <v>240</v>
      </c>
      <c r="I6" s="463" t="s">
        <v>240</v>
      </c>
    </row>
    <row r="7" spans="1:9">
      <c r="A7" s="1020"/>
      <c r="B7" s="381" t="s">
        <v>256</v>
      </c>
      <c r="C7" s="461" t="s">
        <v>235</v>
      </c>
      <c r="D7" s="461" t="s">
        <v>235</v>
      </c>
      <c r="E7" s="461" t="s">
        <v>235</v>
      </c>
      <c r="F7" s="461" t="s">
        <v>235</v>
      </c>
      <c r="G7" s="461" t="s">
        <v>241</v>
      </c>
      <c r="H7" s="461" t="s">
        <v>240</v>
      </c>
      <c r="I7" s="464" t="s">
        <v>241</v>
      </c>
    </row>
    <row r="8" spans="1:9">
      <c r="A8" s="1020"/>
      <c r="B8" s="381" t="s">
        <v>13</v>
      </c>
      <c r="C8" s="461" t="s">
        <v>235</v>
      </c>
      <c r="D8" s="461" t="s">
        <v>235</v>
      </c>
      <c r="E8" s="461" t="s">
        <v>235</v>
      </c>
      <c r="F8" s="461" t="s">
        <v>235</v>
      </c>
      <c r="G8" s="461" t="s">
        <v>240</v>
      </c>
      <c r="H8" s="461" t="s">
        <v>241</v>
      </c>
      <c r="I8" s="464" t="s">
        <v>240</v>
      </c>
    </row>
    <row r="9" spans="1:9">
      <c r="A9" s="1020"/>
      <c r="B9" s="381" t="s">
        <v>236</v>
      </c>
      <c r="C9" s="461" t="s">
        <v>235</v>
      </c>
      <c r="D9" s="461" t="s">
        <v>235</v>
      </c>
      <c r="E9" s="461" t="s">
        <v>235</v>
      </c>
      <c r="F9" s="461"/>
      <c r="G9" s="461" t="s">
        <v>241</v>
      </c>
      <c r="H9" s="461" t="s">
        <v>240</v>
      </c>
      <c r="I9" s="464" t="s">
        <v>240</v>
      </c>
    </row>
    <row r="10" spans="1:9">
      <c r="A10" s="1020"/>
      <c r="B10" s="381" t="s">
        <v>237</v>
      </c>
      <c r="C10" s="461" t="s">
        <v>235</v>
      </c>
      <c r="D10" s="461" t="s">
        <v>235</v>
      </c>
      <c r="E10" s="461" t="s">
        <v>235</v>
      </c>
      <c r="F10" s="461" t="s">
        <v>235</v>
      </c>
      <c r="G10" s="461" t="s">
        <v>240</v>
      </c>
      <c r="H10" s="461" t="s">
        <v>240</v>
      </c>
      <c r="I10" s="464" t="s">
        <v>240</v>
      </c>
    </row>
    <row r="11" spans="1:9">
      <c r="A11" s="1020"/>
      <c r="B11" s="381" t="s">
        <v>529</v>
      </c>
      <c r="C11" s="461" t="s">
        <v>235</v>
      </c>
      <c r="D11" s="461" t="s">
        <v>235</v>
      </c>
      <c r="E11" s="461" t="s">
        <v>235</v>
      </c>
      <c r="F11" s="461" t="s">
        <v>235</v>
      </c>
      <c r="G11" s="484" t="s">
        <v>240</v>
      </c>
      <c r="H11" s="484" t="s">
        <v>240</v>
      </c>
      <c r="I11" s="685" t="s">
        <v>240</v>
      </c>
    </row>
    <row r="12" spans="1:9">
      <c r="A12" s="1020"/>
      <c r="B12" s="1044" t="s">
        <v>265</v>
      </c>
      <c r="C12" s="1039"/>
      <c r="D12" s="1039"/>
      <c r="E12" s="1039"/>
      <c r="F12" s="1039" t="s">
        <v>243</v>
      </c>
      <c r="G12" s="1031" t="s">
        <v>240</v>
      </c>
      <c r="H12" s="1031" t="s">
        <v>240</v>
      </c>
      <c r="I12" s="1033" t="s">
        <v>240</v>
      </c>
    </row>
    <row r="13" spans="1:9">
      <c r="A13" s="1020"/>
      <c r="B13" s="1044"/>
      <c r="C13" s="1039"/>
      <c r="D13" s="1039"/>
      <c r="E13" s="1039"/>
      <c r="F13" s="1039"/>
      <c r="G13" s="1032"/>
      <c r="H13" s="1032"/>
      <c r="I13" s="1034"/>
    </row>
    <row r="14" spans="1:9" ht="28.8">
      <c r="A14" s="1020"/>
      <c r="B14" s="483" t="s">
        <v>270</v>
      </c>
      <c r="C14" s="461" t="s">
        <v>243</v>
      </c>
      <c r="D14" s="461" t="s">
        <v>243</v>
      </c>
      <c r="E14" s="461" t="s">
        <v>243</v>
      </c>
      <c r="F14" s="461" t="s">
        <v>243</v>
      </c>
      <c r="G14" s="462" t="s">
        <v>240</v>
      </c>
      <c r="H14" s="462" t="s">
        <v>240</v>
      </c>
      <c r="I14" s="463" t="s">
        <v>240</v>
      </c>
    </row>
    <row r="15" spans="1:9">
      <c r="A15" s="1020"/>
      <c r="B15" s="381" t="s">
        <v>246</v>
      </c>
      <c r="C15" s="461" t="s">
        <v>235</v>
      </c>
      <c r="D15" s="461" t="s">
        <v>235</v>
      </c>
      <c r="E15" s="461" t="s">
        <v>235</v>
      </c>
      <c r="F15" s="461" t="s">
        <v>235</v>
      </c>
      <c r="G15" s="461" t="s">
        <v>240</v>
      </c>
      <c r="H15" s="461" t="s">
        <v>241</v>
      </c>
      <c r="I15" s="464" t="s">
        <v>240</v>
      </c>
    </row>
    <row r="16" spans="1:9">
      <c r="A16" s="1020"/>
      <c r="B16" s="1037" t="s">
        <v>448</v>
      </c>
      <c r="C16" s="1038" t="s">
        <v>235</v>
      </c>
      <c r="D16" s="1039" t="s">
        <v>235</v>
      </c>
      <c r="E16" s="1039" t="s">
        <v>235</v>
      </c>
      <c r="F16" s="1038" t="s">
        <v>235</v>
      </c>
      <c r="G16" s="1031" t="s">
        <v>241</v>
      </c>
      <c r="H16" s="1031" t="s">
        <v>241</v>
      </c>
      <c r="I16" s="1033" t="s">
        <v>240</v>
      </c>
    </row>
    <row r="17" spans="1:9" ht="1.05" customHeight="1">
      <c r="A17" s="1020"/>
      <c r="B17" s="1037"/>
      <c r="C17" s="1038"/>
      <c r="D17" s="1039"/>
      <c r="E17" s="1039"/>
      <c r="F17" s="1038"/>
      <c r="G17" s="1032"/>
      <c r="H17" s="1032"/>
      <c r="I17" s="1034"/>
    </row>
    <row r="18" spans="1:9" ht="41.4">
      <c r="A18" s="1020"/>
      <c r="B18" s="381" t="s">
        <v>258</v>
      </c>
      <c r="C18" s="461" t="s">
        <v>235</v>
      </c>
      <c r="D18" s="461" t="s">
        <v>235</v>
      </c>
      <c r="E18" s="461" t="s">
        <v>235</v>
      </c>
      <c r="F18" s="461" t="s">
        <v>235</v>
      </c>
      <c r="G18" s="590" t="s">
        <v>312</v>
      </c>
      <c r="H18" s="461" t="s">
        <v>241</v>
      </c>
      <c r="I18" s="464" t="s">
        <v>240</v>
      </c>
    </row>
    <row r="19" spans="1:9">
      <c r="A19" s="1020"/>
      <c r="B19" s="381" t="s">
        <v>64</v>
      </c>
      <c r="C19" s="461" t="s">
        <v>235</v>
      </c>
      <c r="D19" s="461" t="s">
        <v>235</v>
      </c>
      <c r="E19" s="461" t="s">
        <v>235</v>
      </c>
      <c r="F19" s="461" t="s">
        <v>235</v>
      </c>
      <c r="G19" s="461" t="s">
        <v>241</v>
      </c>
      <c r="H19" s="484" t="s">
        <v>241</v>
      </c>
      <c r="I19" s="464" t="s">
        <v>241</v>
      </c>
    </row>
    <row r="20" spans="1:9">
      <c r="A20" s="1020"/>
      <c r="B20" s="381" t="s">
        <v>242</v>
      </c>
      <c r="C20" s="461" t="s">
        <v>235</v>
      </c>
      <c r="D20" s="461" t="s">
        <v>235</v>
      </c>
      <c r="E20" s="461" t="s">
        <v>235</v>
      </c>
      <c r="F20" s="461" t="s">
        <v>235</v>
      </c>
      <c r="G20" s="461" t="s">
        <v>240</v>
      </c>
      <c r="H20" s="1035" t="s">
        <v>260</v>
      </c>
      <c r="I20" s="464" t="s">
        <v>240</v>
      </c>
    </row>
    <row r="21" spans="1:9" ht="15" thickBot="1">
      <c r="A21" s="1020"/>
      <c r="B21" s="481" t="s">
        <v>239</v>
      </c>
      <c r="C21" s="465" t="s">
        <v>235</v>
      </c>
      <c r="D21" s="465" t="s">
        <v>235</v>
      </c>
      <c r="E21" s="465" t="s">
        <v>235</v>
      </c>
      <c r="F21" s="465" t="s">
        <v>235</v>
      </c>
      <c r="G21" s="465" t="s">
        <v>240</v>
      </c>
      <c r="H21" s="1036"/>
      <c r="I21" s="466" t="s">
        <v>240</v>
      </c>
    </row>
    <row r="22" spans="1:9">
      <c r="A22" s="1020"/>
      <c r="B22" s="482" t="s">
        <v>221</v>
      </c>
      <c r="C22" s="474"/>
      <c r="D22" s="474"/>
      <c r="E22" s="475"/>
      <c r="F22" s="475"/>
      <c r="G22" s="476"/>
      <c r="H22" s="476"/>
      <c r="I22" s="477"/>
    </row>
    <row r="23" spans="1:9">
      <c r="A23" s="1020"/>
      <c r="B23" s="485" t="s">
        <v>222</v>
      </c>
      <c r="C23" s="485"/>
      <c r="D23" s="485"/>
      <c r="E23" s="42"/>
      <c r="F23" s="42"/>
      <c r="G23" s="53"/>
      <c r="H23" s="53"/>
      <c r="I23" s="478"/>
    </row>
    <row r="24" spans="1:9">
      <c r="A24" s="1020"/>
      <c r="B24" s="485" t="s">
        <v>530</v>
      </c>
      <c r="C24" s="485"/>
      <c r="D24" s="485"/>
      <c r="E24" s="42"/>
      <c r="F24" s="42"/>
      <c r="G24" s="53"/>
      <c r="H24" s="53"/>
      <c r="I24" s="478"/>
    </row>
    <row r="25" spans="1:9">
      <c r="A25" s="1020"/>
      <c r="B25" s="1029" t="s">
        <v>416</v>
      </c>
      <c r="C25" s="1029"/>
      <c r="D25" s="1029"/>
      <c r="E25" s="1029"/>
      <c r="F25" s="1029"/>
      <c r="G25" s="1029"/>
      <c r="H25" s="1029"/>
      <c r="I25" s="1030"/>
    </row>
    <row r="26" spans="1:9">
      <c r="A26" s="1020"/>
      <c r="B26" s="1029"/>
      <c r="C26" s="1029"/>
      <c r="D26" s="1029"/>
      <c r="E26" s="1029"/>
      <c r="F26" s="1029"/>
      <c r="G26" s="1029"/>
      <c r="H26" s="1029"/>
      <c r="I26" s="1030"/>
    </row>
    <row r="27" spans="1:9" ht="15" thickBot="1">
      <c r="A27" s="1021"/>
      <c r="B27" s="479"/>
      <c r="C27" s="479"/>
      <c r="D27" s="479"/>
      <c r="E27" s="479"/>
      <c r="F27" s="479"/>
      <c r="G27" s="479"/>
      <c r="H27" s="479"/>
      <c r="I27" s="480"/>
    </row>
    <row r="28" spans="1:9">
      <c r="B28" s="56"/>
      <c r="C28" s="56"/>
      <c r="D28" s="56"/>
      <c r="E28" s="56"/>
      <c r="F28" s="56"/>
      <c r="G28" s="56"/>
      <c r="H28" s="56"/>
      <c r="I28" s="56"/>
    </row>
    <row r="29" spans="1:9" ht="15" thickBot="1">
      <c r="B29" s="457"/>
      <c r="C29" s="457"/>
      <c r="D29" s="457"/>
      <c r="E29" s="69"/>
      <c r="F29" s="460"/>
      <c r="G29" s="68"/>
      <c r="H29" s="68"/>
      <c r="I29" s="68"/>
    </row>
    <row r="30" spans="1:9" ht="22.05" customHeight="1" thickBot="1">
      <c r="A30" s="1019" t="s">
        <v>254</v>
      </c>
      <c r="B30" s="1017" t="s">
        <v>248</v>
      </c>
      <c r="C30" s="1017"/>
      <c r="D30" s="1017"/>
      <c r="E30" s="1017"/>
      <c r="F30" s="1017"/>
      <c r="G30" s="1017"/>
      <c r="H30" s="1017"/>
      <c r="I30" s="1018"/>
    </row>
    <row r="31" spans="1:9" ht="37.049999999999997" customHeight="1" thickBot="1">
      <c r="A31" s="1020"/>
      <c r="B31" s="1014" t="s">
        <v>470</v>
      </c>
      <c r="C31" s="1015"/>
      <c r="D31" s="1015"/>
      <c r="E31" s="1015"/>
      <c r="F31" s="1015"/>
      <c r="G31" s="1015"/>
      <c r="H31" s="1015"/>
      <c r="I31" s="1016"/>
    </row>
    <row r="32" spans="1:9" ht="16.2" thickBot="1">
      <c r="A32" s="1020"/>
      <c r="B32" s="469" t="s">
        <v>262</v>
      </c>
      <c r="C32" s="469"/>
      <c r="D32" s="469"/>
      <c r="E32" s="469"/>
      <c r="F32" s="469"/>
      <c r="G32" s="1066" t="s">
        <v>57</v>
      </c>
      <c r="H32" s="1067"/>
      <c r="I32" s="1068"/>
    </row>
    <row r="33" spans="1:11">
      <c r="A33" s="1020"/>
      <c r="B33" s="470" t="s">
        <v>224</v>
      </c>
      <c r="C33" s="470"/>
      <c r="D33" s="470"/>
      <c r="E33" s="470"/>
      <c r="F33" s="470"/>
      <c r="G33" s="1069" t="s">
        <v>510</v>
      </c>
      <c r="H33" s="1070"/>
      <c r="I33" s="1071"/>
    </row>
    <row r="34" spans="1:11">
      <c r="A34" s="1020"/>
      <c r="B34" s="471" t="s">
        <v>271</v>
      </c>
      <c r="C34" s="471"/>
      <c r="D34" s="471"/>
      <c r="E34" s="471"/>
      <c r="F34" s="471"/>
      <c r="G34" s="1051" t="s">
        <v>511</v>
      </c>
      <c r="H34" s="1052"/>
      <c r="I34" s="1053"/>
    </row>
    <row r="35" spans="1:11" ht="15" thickBot="1">
      <c r="A35" s="1020"/>
      <c r="B35" s="472" t="s">
        <v>272</v>
      </c>
      <c r="C35" s="472"/>
      <c r="D35" s="472"/>
      <c r="E35" s="472"/>
      <c r="F35" s="472"/>
      <c r="G35" s="1054">
        <v>48</v>
      </c>
      <c r="H35" s="1055"/>
      <c r="I35" s="1056"/>
    </row>
    <row r="36" spans="1:11" ht="15" thickBot="1">
      <c r="A36" s="1020"/>
      <c r="B36" s="1022"/>
      <c r="C36" s="1023"/>
      <c r="D36" s="1023"/>
      <c r="E36" s="1023"/>
      <c r="F36" s="1023"/>
      <c r="G36" s="1023"/>
      <c r="H36" s="1023"/>
      <c r="I36" s="1024"/>
      <c r="J36" s="232"/>
      <c r="K36" s="232"/>
    </row>
    <row r="37" spans="1:11" ht="16.2" thickBot="1">
      <c r="A37" s="1020"/>
      <c r="B37" s="469" t="s">
        <v>514</v>
      </c>
      <c r="C37" s="469"/>
      <c r="D37" s="469"/>
      <c r="E37" s="469"/>
      <c r="F37" s="469"/>
      <c r="G37" s="1060" t="s">
        <v>57</v>
      </c>
      <c r="H37" s="1061"/>
      <c r="I37" s="1062"/>
    </row>
    <row r="38" spans="1:11">
      <c r="A38" s="1020"/>
      <c r="B38" s="939" t="s">
        <v>226</v>
      </c>
      <c r="C38" s="940"/>
      <c r="D38" s="940"/>
      <c r="E38" s="940"/>
      <c r="F38" s="940"/>
      <c r="G38" s="1063" t="s">
        <v>512</v>
      </c>
      <c r="H38" s="1064"/>
      <c r="I38" s="1065"/>
    </row>
    <row r="39" spans="1:11">
      <c r="A39" s="1020"/>
      <c r="B39" s="943" t="s">
        <v>513</v>
      </c>
      <c r="C39" s="938"/>
      <c r="D39" s="938"/>
      <c r="E39" s="938"/>
      <c r="F39" s="938"/>
      <c r="G39" s="1057">
        <v>40</v>
      </c>
      <c r="H39" s="1058"/>
      <c r="I39" s="1059"/>
    </row>
    <row r="40" spans="1:11">
      <c r="A40" s="1020"/>
      <c r="B40" s="941" t="s">
        <v>418</v>
      </c>
      <c r="C40" s="471"/>
      <c r="D40" s="471"/>
      <c r="E40" s="471"/>
      <c r="F40" s="471"/>
      <c r="G40" s="1051" t="s">
        <v>225</v>
      </c>
      <c r="H40" s="1052"/>
      <c r="I40" s="1053"/>
    </row>
    <row r="41" spans="1:11">
      <c r="A41" s="1020"/>
      <c r="B41" s="941" t="s">
        <v>436</v>
      </c>
      <c r="C41" s="471"/>
      <c r="D41" s="471"/>
      <c r="E41" s="471"/>
      <c r="F41" s="471"/>
      <c r="G41" s="1051" t="s">
        <v>414</v>
      </c>
      <c r="H41" s="1052"/>
      <c r="I41" s="1053"/>
    </row>
    <row r="42" spans="1:11" ht="15" thickBot="1">
      <c r="A42" s="1020"/>
      <c r="B42" s="942" t="s">
        <v>437</v>
      </c>
      <c r="C42" s="472"/>
      <c r="D42" s="472"/>
      <c r="E42" s="472"/>
      <c r="F42" s="472"/>
      <c r="G42" s="1054" t="s">
        <v>415</v>
      </c>
      <c r="H42" s="1055"/>
      <c r="I42" s="1056"/>
    </row>
    <row r="43" spans="1:11" ht="15" thickBot="1">
      <c r="A43" s="1020"/>
      <c r="B43" s="1022"/>
      <c r="C43" s="1023"/>
      <c r="D43" s="1023"/>
      <c r="E43" s="1023"/>
      <c r="F43" s="1023"/>
      <c r="G43" s="1023"/>
      <c r="H43" s="1023"/>
      <c r="I43" s="1024"/>
      <c r="J43" s="232"/>
      <c r="K43" s="232"/>
    </row>
    <row r="44" spans="1:11" ht="15.6">
      <c r="A44" s="1020"/>
      <c r="B44" s="458" t="s">
        <v>263</v>
      </c>
      <c r="C44" s="458"/>
      <c r="D44" s="458"/>
      <c r="E44" s="458"/>
      <c r="F44" s="458"/>
      <c r="G44" s="1045" t="s">
        <v>229</v>
      </c>
      <c r="H44" s="1046"/>
      <c r="I44" s="1047"/>
    </row>
    <row r="45" spans="1:11">
      <c r="A45" s="1020"/>
      <c r="B45" s="459" t="s">
        <v>264</v>
      </c>
      <c r="C45" s="459"/>
      <c r="D45" s="459"/>
      <c r="E45" s="459"/>
      <c r="F45" s="459"/>
      <c r="G45" s="1048"/>
      <c r="H45" s="1049"/>
      <c r="I45" s="1050"/>
    </row>
    <row r="46" spans="1:11">
      <c r="A46" s="1020"/>
      <c r="B46" s="473" t="s">
        <v>226</v>
      </c>
      <c r="C46" s="473"/>
      <c r="D46" s="473"/>
      <c r="E46" s="473"/>
      <c r="F46" s="473"/>
      <c r="G46" s="1051" t="s">
        <v>227</v>
      </c>
      <c r="H46" s="1052"/>
      <c r="I46" s="1053"/>
    </row>
    <row r="47" spans="1:11" ht="15" thickBot="1">
      <c r="A47" s="1021"/>
      <c r="B47" s="259" t="s">
        <v>438</v>
      </c>
      <c r="C47" s="259"/>
      <c r="D47" s="259"/>
      <c r="E47" s="259"/>
      <c r="F47" s="259"/>
      <c r="G47" s="1054" t="s">
        <v>228</v>
      </c>
      <c r="H47" s="1055"/>
      <c r="I47" s="1056"/>
    </row>
  </sheetData>
  <mergeCells count="42">
    <mergeCell ref="G39:I39"/>
    <mergeCell ref="G35:I35"/>
    <mergeCell ref="G37:I37"/>
    <mergeCell ref="G38:I38"/>
    <mergeCell ref="G32:I32"/>
    <mergeCell ref="G33:I33"/>
    <mergeCell ref="G34:I34"/>
    <mergeCell ref="G44:I45"/>
    <mergeCell ref="G46:I46"/>
    <mergeCell ref="G47:I47"/>
    <mergeCell ref="G40:I40"/>
    <mergeCell ref="G41:I41"/>
    <mergeCell ref="G42:I42"/>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224"/>
  <sheetViews>
    <sheetView view="pageBreakPreview" topLeftCell="A159" zoomScale="120" zoomScaleSheetLayoutView="120" workbookViewId="0">
      <selection activeCell="D105" sqref="D105:G105"/>
    </sheetView>
  </sheetViews>
  <sheetFormatPr defaultColWidth="8.77734375" defaultRowHeight="13.8"/>
  <cols>
    <col min="1" max="4" width="13.33203125" style="2" customWidth="1"/>
    <col min="5" max="5" width="14.109375" style="2" customWidth="1"/>
    <col min="6" max="9" width="13.33203125" style="2" customWidth="1"/>
    <col min="10" max="10" width="9.33203125" style="2" hidden="1" customWidth="1"/>
    <col min="11" max="14" width="8.77734375" style="2" hidden="1" customWidth="1"/>
    <col min="15" max="15" width="10.109375" style="2" hidden="1" customWidth="1"/>
    <col min="16" max="16" width="8.77734375" style="2" hidden="1" customWidth="1"/>
    <col min="17" max="20" width="10.77734375" style="2" hidden="1" customWidth="1"/>
    <col min="21" max="21" width="8.77734375" style="2" hidden="1" customWidth="1"/>
    <col min="22" max="22" width="10.109375" style="2" hidden="1" customWidth="1"/>
    <col min="23" max="23" width="8.77734375" style="2" hidden="1" customWidth="1"/>
    <col min="24" max="24" width="9.109375" style="2" hidden="1" customWidth="1"/>
    <col min="25" max="27" width="8.77734375" style="2" customWidth="1"/>
    <col min="28" max="16384" width="8.77734375" style="2"/>
  </cols>
  <sheetData>
    <row r="1" spans="1:28" ht="22.95" customHeight="1">
      <c r="A1" s="1223" t="s">
        <v>19</v>
      </c>
      <c r="B1" s="1224"/>
      <c r="C1" s="1224"/>
      <c r="D1" s="1224"/>
      <c r="E1" s="1224"/>
      <c r="F1" s="1224"/>
      <c r="G1" s="1224"/>
      <c r="H1" s="1224"/>
      <c r="I1" s="1225"/>
      <c r="J1" s="39"/>
    </row>
    <row r="2" spans="1:28" ht="22.95" customHeight="1">
      <c r="A2" s="1237" t="s">
        <v>6</v>
      </c>
      <c r="B2" s="1238"/>
      <c r="C2" s="1238"/>
      <c r="D2" s="1238"/>
      <c r="E2" s="1238"/>
      <c r="F2" s="1238"/>
      <c r="G2" s="1238"/>
      <c r="H2" s="1238"/>
      <c r="I2" s="1239"/>
    </row>
    <row r="3" spans="1:28" ht="24" customHeight="1" thickBot="1">
      <c r="A3" s="1257" t="str">
        <f>'Forside 1'!A6:I6</f>
        <v>Gældende fra 1. august 2026</v>
      </c>
      <c r="B3" s="1258"/>
      <c r="C3" s="1258"/>
      <c r="D3" s="1258"/>
      <c r="E3" s="1258"/>
      <c r="F3" s="1258"/>
      <c r="G3" s="1258"/>
      <c r="H3" s="1258"/>
      <c r="I3" s="1259"/>
      <c r="P3" s="57"/>
      <c r="Q3" s="57"/>
      <c r="R3" s="57"/>
      <c r="S3" s="57"/>
      <c r="T3" s="57"/>
      <c r="U3" s="57"/>
      <c r="V3" s="57"/>
      <c r="W3" s="57"/>
      <c r="X3" s="57"/>
      <c r="Y3" s="57"/>
      <c r="Z3" s="57"/>
      <c r="AA3" s="57"/>
      <c r="AB3" s="57"/>
    </row>
    <row r="4" spans="1:28" ht="19.95" customHeight="1" thickBot="1">
      <c r="A4" s="41"/>
      <c r="B4" s="41"/>
      <c r="C4" s="41"/>
      <c r="D4" s="41"/>
      <c r="E4" s="41"/>
      <c r="F4" s="41"/>
      <c r="G4" s="41"/>
      <c r="H4" s="41"/>
      <c r="I4" s="41"/>
      <c r="P4" s="1256"/>
      <c r="Q4" s="1256"/>
      <c r="R4" s="1256"/>
      <c r="S4" s="1256"/>
      <c r="T4" s="1256"/>
      <c r="U4" s="1256"/>
      <c r="V4" s="1256"/>
      <c r="W4" s="1256"/>
      <c r="X4" s="1256"/>
      <c r="Y4" s="1256"/>
      <c r="Z4" s="1256"/>
      <c r="AA4" s="1256"/>
      <c r="AB4" s="1256"/>
    </row>
    <row r="5" spans="1:28" ht="19.95" customHeight="1">
      <c r="A5" s="1114" t="s">
        <v>234</v>
      </c>
      <c r="B5" s="1115"/>
      <c r="C5" s="1115"/>
      <c r="D5" s="1115"/>
      <c r="E5" s="1115"/>
      <c r="F5" s="1115"/>
      <c r="G5" s="1115"/>
      <c r="H5" s="1116"/>
      <c r="I5" s="62"/>
      <c r="P5" s="57"/>
      <c r="Q5" s="57"/>
      <c r="R5" s="57"/>
      <c r="S5" s="57"/>
      <c r="T5" s="57"/>
      <c r="U5" s="57"/>
      <c r="V5" s="57"/>
      <c r="W5" s="57"/>
      <c r="X5" s="57"/>
      <c r="Y5" s="57"/>
      <c r="Z5" s="57"/>
      <c r="AA5" s="57"/>
      <c r="AB5" s="57"/>
    </row>
    <row r="6" spans="1:28" ht="19.95" customHeight="1" thickBot="1">
      <c r="A6" s="1169" t="s">
        <v>384</v>
      </c>
      <c r="B6" s="1170"/>
      <c r="C6" s="1170"/>
      <c r="D6" s="1170"/>
      <c r="E6" s="1170"/>
      <c r="F6" s="1170"/>
      <c r="G6" s="1170"/>
      <c r="H6" s="1171"/>
      <c r="I6" s="62"/>
      <c r="P6" s="57"/>
      <c r="Q6" s="57"/>
      <c r="R6" s="57"/>
      <c r="S6" s="57"/>
      <c r="T6" s="57"/>
      <c r="U6" s="57"/>
      <c r="V6" s="57"/>
      <c r="W6" s="57"/>
      <c r="X6" s="57"/>
      <c r="Y6" s="57"/>
      <c r="Z6" s="57"/>
      <c r="AA6" s="57"/>
      <c r="AB6" s="57"/>
    </row>
    <row r="7" spans="1:28" ht="24" customHeight="1" thickBot="1">
      <c r="A7" s="1266" t="s">
        <v>91</v>
      </c>
      <c r="B7" s="1263" t="s">
        <v>0</v>
      </c>
      <c r="C7" s="1158" t="s">
        <v>4</v>
      </c>
      <c r="D7" s="1158"/>
      <c r="E7" s="1194"/>
      <c r="F7" s="1260" t="s">
        <v>5</v>
      </c>
      <c r="G7" s="1261"/>
      <c r="H7" s="1262"/>
      <c r="I7" s="63"/>
    </row>
    <row r="8" spans="1:28" ht="27.6">
      <c r="A8" s="1267"/>
      <c r="B8" s="1264"/>
      <c r="C8" s="314" t="s">
        <v>128</v>
      </c>
      <c r="D8" s="314" t="s">
        <v>306</v>
      </c>
      <c r="E8" s="314" t="s">
        <v>253</v>
      </c>
      <c r="F8" s="314" t="s">
        <v>128</v>
      </c>
      <c r="G8" s="314" t="s">
        <v>306</v>
      </c>
      <c r="H8" s="314" t="s">
        <v>253</v>
      </c>
      <c r="I8" s="50"/>
    </row>
    <row r="9" spans="1:28" ht="18" customHeight="1" thickBot="1">
      <c r="A9" s="1268"/>
      <c r="B9" s="1265"/>
      <c r="C9" s="315">
        <v>40999</v>
      </c>
      <c r="D9" s="315" t="str">
        <f>'Løntabel gældende fra'!$D$1</f>
        <v>01-08-2026</v>
      </c>
      <c r="E9" s="315" t="str">
        <f>'Løntabel gældende fra'!$D$1</f>
        <v>01-08-2026</v>
      </c>
      <c r="F9" s="316">
        <v>40999</v>
      </c>
      <c r="G9" s="315" t="str">
        <f>'Løntabel gældende fra'!$D$1</f>
        <v>01-08-2026</v>
      </c>
      <c r="H9" s="315" t="str">
        <f>'Løntabel gældende fra'!$D$1</f>
        <v>01-08-2026</v>
      </c>
      <c r="I9" s="61"/>
    </row>
    <row r="10" spans="1:28" ht="15" customHeight="1">
      <c r="A10" s="319" t="s">
        <v>1</v>
      </c>
      <c r="B10" s="320">
        <v>1</v>
      </c>
      <c r="C10" s="133">
        <v>279695</v>
      </c>
      <c r="D10" s="814">
        <f>ROUND(C10+(C10*'Løntabel gældende fra'!$D$7%),2)</f>
        <v>356108.79</v>
      </c>
      <c r="E10" s="803">
        <f>ROUND(D10/12,2)</f>
        <v>29675.73</v>
      </c>
      <c r="F10" s="133">
        <v>272188</v>
      </c>
      <c r="G10" s="134">
        <f>ROUND(F10+(F10*'Løntabel gældende fra'!$D$7%),2)</f>
        <v>346550.85</v>
      </c>
      <c r="H10" s="803">
        <f>ROUND(G10/12,2)</f>
        <v>28879.24</v>
      </c>
      <c r="I10" s="10"/>
    </row>
    <row r="11" spans="1:28" ht="15" customHeight="1">
      <c r="A11" s="321" t="s">
        <v>51</v>
      </c>
      <c r="B11" s="322">
        <v>2</v>
      </c>
      <c r="C11" s="135">
        <v>298044</v>
      </c>
      <c r="D11" s="414">
        <f>ROUND(C11+(C11*'Løntabel gældende fra'!$D$7%),2)</f>
        <v>379470.81</v>
      </c>
      <c r="E11" s="804">
        <f t="shared" ref="E11:E13" si="0">ROUND(D11/12,2)</f>
        <v>31622.57</v>
      </c>
      <c r="F11" s="135">
        <v>285295</v>
      </c>
      <c r="G11" s="137">
        <f>ROUND(F11+(F11*'Løntabel gældende fra'!$D$7%),2)</f>
        <v>363238.74</v>
      </c>
      <c r="H11" s="804">
        <f t="shared" ref="H11:H13" si="1">ROUND(G11/12,2)</f>
        <v>30269.9</v>
      </c>
      <c r="I11" s="10"/>
    </row>
    <row r="12" spans="1:28" ht="15" customHeight="1">
      <c r="A12" s="321" t="s">
        <v>2</v>
      </c>
      <c r="B12" s="322">
        <v>3</v>
      </c>
      <c r="C12" s="135">
        <v>325699</v>
      </c>
      <c r="D12" s="414">
        <f>ROUND(C12+(C12*'Løntabel gældende fra'!$D$7%),2)</f>
        <v>414681.27</v>
      </c>
      <c r="E12" s="804">
        <f t="shared" si="0"/>
        <v>34556.769999999997</v>
      </c>
      <c r="F12" s="135">
        <v>295911</v>
      </c>
      <c r="G12" s="137">
        <f>ROUND(F12+(F12*'Løntabel gældende fra'!$D$7%),2)</f>
        <v>376755.07</v>
      </c>
      <c r="H12" s="804">
        <f t="shared" si="1"/>
        <v>31396.26</v>
      </c>
      <c r="I12" s="10"/>
    </row>
    <row r="13" spans="1:28" ht="15" customHeight="1" thickBot="1">
      <c r="A13" s="323" t="s">
        <v>3</v>
      </c>
      <c r="B13" s="324">
        <v>4</v>
      </c>
      <c r="C13" s="139">
        <v>351388</v>
      </c>
      <c r="D13" s="807">
        <f>ROUND(C13+(C13*'Løntabel gældende fra'!$D$7%),2)</f>
        <v>447388.61</v>
      </c>
      <c r="E13" s="805">
        <f t="shared" si="0"/>
        <v>37282.379999999997</v>
      </c>
      <c r="F13" s="139">
        <v>314654</v>
      </c>
      <c r="G13" s="806">
        <f>ROUND(F13+(F13*'Løntabel gældende fra'!$D$7%),2)</f>
        <v>400618.73</v>
      </c>
      <c r="H13" s="805">
        <f t="shared" si="1"/>
        <v>33384.89</v>
      </c>
      <c r="I13" s="10"/>
    </row>
    <row r="14" spans="1:28" ht="21" customHeight="1" thickBot="1">
      <c r="A14" s="8"/>
      <c r="B14" s="8"/>
      <c r="C14" s="9"/>
      <c r="D14" s="8"/>
      <c r="E14" s="8"/>
      <c r="F14" s="9"/>
      <c r="G14" s="8"/>
      <c r="H14" s="8"/>
      <c r="I14" s="10"/>
    </row>
    <row r="15" spans="1:28" ht="19.95" customHeight="1">
      <c r="A15" s="1114" t="s">
        <v>353</v>
      </c>
      <c r="B15" s="1115"/>
      <c r="C15" s="1115"/>
      <c r="D15" s="1115"/>
      <c r="E15" s="1115"/>
      <c r="F15" s="1115"/>
      <c r="G15" s="1115"/>
      <c r="H15" s="1116"/>
      <c r="I15" s="62"/>
      <c r="J15" s="1336" t="s">
        <v>353</v>
      </c>
      <c r="K15" s="1337"/>
      <c r="L15" s="1337"/>
      <c r="M15" s="1337"/>
      <c r="N15" s="1337"/>
      <c r="O15" s="1337"/>
      <c r="P15" s="1337"/>
      <c r="Q15" s="1337"/>
      <c r="R15" s="1337"/>
      <c r="S15" s="1337"/>
      <c r="T15" s="1337"/>
      <c r="U15" s="1337"/>
      <c r="V15" s="1337"/>
      <c r="W15" s="1337"/>
      <c r="X15" s="1338"/>
    </row>
    <row r="16" spans="1:28" ht="19.95" customHeight="1" thickBot="1">
      <c r="A16" s="1169" t="s">
        <v>385</v>
      </c>
      <c r="B16" s="1170"/>
      <c r="C16" s="1170"/>
      <c r="D16" s="1170"/>
      <c r="E16" s="1170"/>
      <c r="F16" s="1170"/>
      <c r="G16" s="1170"/>
      <c r="H16" s="1171"/>
      <c r="I16" s="62"/>
      <c r="J16" s="1339" t="s">
        <v>385</v>
      </c>
      <c r="K16" s="1340"/>
      <c r="L16" s="1341"/>
      <c r="M16" s="1341"/>
      <c r="N16" s="1340"/>
      <c r="O16" s="1340"/>
      <c r="P16" s="1340"/>
      <c r="Q16" s="1340"/>
      <c r="R16" s="1340"/>
      <c r="S16" s="1340"/>
      <c r="T16" s="1340"/>
      <c r="U16" s="1340"/>
      <c r="V16" s="1340"/>
      <c r="W16" s="1340"/>
      <c r="X16" s="1342"/>
    </row>
    <row r="17" spans="1:24" ht="22.95" customHeight="1" thickBot="1">
      <c r="A17" s="1119" t="s">
        <v>11</v>
      </c>
      <c r="B17" s="1120"/>
      <c r="C17" s="1157" t="s">
        <v>4</v>
      </c>
      <c r="D17" s="1158"/>
      <c r="E17" s="1194"/>
      <c r="F17" s="1260" t="s">
        <v>5</v>
      </c>
      <c r="G17" s="1261"/>
      <c r="H17" s="1262"/>
      <c r="I17" s="63"/>
      <c r="J17" s="1318" t="s">
        <v>11</v>
      </c>
      <c r="K17" s="1319"/>
      <c r="L17" s="1331" t="s">
        <v>557</v>
      </c>
      <c r="M17" s="1324"/>
      <c r="N17" s="1322" t="s">
        <v>4</v>
      </c>
      <c r="O17" s="1322"/>
      <c r="P17" s="1323"/>
      <c r="Q17" s="1343"/>
      <c r="R17" s="976"/>
      <c r="S17" s="1331" t="s">
        <v>557</v>
      </c>
      <c r="T17" s="1324"/>
      <c r="U17" s="1333" t="s">
        <v>5</v>
      </c>
      <c r="V17" s="1334"/>
      <c r="W17" s="1334"/>
      <c r="X17" s="1335"/>
    </row>
    <row r="18" spans="1:24" ht="30" customHeight="1">
      <c r="A18" s="1232"/>
      <c r="B18" s="1233"/>
      <c r="C18" s="1117" t="s">
        <v>559</v>
      </c>
      <c r="D18" s="314" t="s">
        <v>95</v>
      </c>
      <c r="E18" s="314" t="s">
        <v>305</v>
      </c>
      <c r="F18" s="1117" t="s">
        <v>559</v>
      </c>
      <c r="G18" s="314" t="s">
        <v>96</v>
      </c>
      <c r="H18" s="314" t="s">
        <v>305</v>
      </c>
      <c r="I18" s="11"/>
      <c r="J18" s="1318"/>
      <c r="K18" s="1319"/>
      <c r="L18" s="1318"/>
      <c r="M18" s="1332"/>
      <c r="N18" s="1324" t="s">
        <v>209</v>
      </c>
      <c r="O18" s="977" t="s">
        <v>95</v>
      </c>
      <c r="P18" s="977" t="s">
        <v>305</v>
      </c>
      <c r="Q18" s="1344"/>
      <c r="R18" s="975"/>
      <c r="S18" s="1318"/>
      <c r="T18" s="1332"/>
      <c r="U18" s="1326" t="s">
        <v>209</v>
      </c>
      <c r="V18" s="977" t="s">
        <v>96</v>
      </c>
      <c r="W18" s="977" t="s">
        <v>305</v>
      </c>
      <c r="X18" s="977"/>
    </row>
    <row r="19" spans="1:24" ht="31.95" customHeight="1" thickBot="1">
      <c r="A19" s="1232"/>
      <c r="B19" s="1233"/>
      <c r="C19" s="1135"/>
      <c r="D19" s="317">
        <v>40999</v>
      </c>
      <c r="E19" s="318" t="str">
        <f>'Løntabel gældende fra'!$D$1</f>
        <v>01-08-2026</v>
      </c>
      <c r="F19" s="1135"/>
      <c r="G19" s="317">
        <v>40999</v>
      </c>
      <c r="H19" s="318" t="str">
        <f>'Løntabel gældende fra'!$D$1</f>
        <v>01-08-2026</v>
      </c>
      <c r="I19" s="64"/>
      <c r="J19" s="1318"/>
      <c r="K19" s="1319"/>
      <c r="L19" s="1320"/>
      <c r="M19" s="1325"/>
      <c r="N19" s="1325"/>
      <c r="O19" s="978">
        <v>40999</v>
      </c>
      <c r="P19" s="979" t="str">
        <f>'Løntabel gældende fra'!$D$1</f>
        <v>01-08-2026</v>
      </c>
      <c r="Q19" s="1345"/>
      <c r="R19" s="980"/>
      <c r="S19" s="1320"/>
      <c r="T19" s="1325"/>
      <c r="U19" s="1327"/>
      <c r="V19" s="978">
        <v>40999</v>
      </c>
      <c r="W19" s="979" t="str">
        <f>'Løntabel gældende fra'!$D$1</f>
        <v>01-08-2026</v>
      </c>
      <c r="X19" s="979"/>
    </row>
    <row r="20" spans="1:24" ht="15" customHeight="1">
      <c r="A20" s="1232"/>
      <c r="B20" s="1234"/>
      <c r="C20" s="141" t="s">
        <v>43</v>
      </c>
      <c r="D20" s="142">
        <v>16.38</v>
      </c>
      <c r="E20" s="136">
        <f>ROUND(D20+(D20*'Løntabel gældende fra'!$D$7%),2)</f>
        <v>20.86</v>
      </c>
      <c r="F20" s="143" t="s">
        <v>47</v>
      </c>
      <c r="G20" s="144">
        <v>22.4054</v>
      </c>
      <c r="H20" s="136">
        <f>ROUND(G20+(G20*'Løntabel gældende fra'!$D$7%),2)</f>
        <v>28.53</v>
      </c>
      <c r="I20" s="45"/>
      <c r="J20" s="1318"/>
      <c r="K20" s="1319"/>
      <c r="L20" s="986">
        <v>0</v>
      </c>
      <c r="M20" s="987">
        <f>ROUND((649.99*C28),2)</f>
        <v>552.49</v>
      </c>
      <c r="N20" s="141" t="s">
        <v>43</v>
      </c>
      <c r="O20" s="142">
        <v>16.38</v>
      </c>
      <c r="P20" s="136">
        <f>ROUND(O20+(O20*'Løntabel gældende fra'!$D$7%),2)</f>
        <v>20.86</v>
      </c>
      <c r="Q20" s="336">
        <f>IF(C29&gt;M20,(M20*P20),(C29*P20))</f>
        <v>11524.9414</v>
      </c>
      <c r="R20" s="336">
        <f>ROUND(Q20,2)</f>
        <v>11524.94</v>
      </c>
      <c r="S20" s="986">
        <v>0</v>
      </c>
      <c r="T20" s="987">
        <f>ROUND((749.99*F28),2)</f>
        <v>524.99</v>
      </c>
      <c r="U20" s="141" t="s">
        <v>47</v>
      </c>
      <c r="V20" s="144">
        <v>22.4054</v>
      </c>
      <c r="W20" s="136">
        <f>ROUND(V20+(V20*'Løntabel gældende fra'!$D$7%),2)</f>
        <v>28.53</v>
      </c>
      <c r="X20" s="214">
        <f>IF(F29&gt;T20,T20*W20,F29*W20)</f>
        <v>14977.9647</v>
      </c>
    </row>
    <row r="21" spans="1:24" ht="15" customHeight="1">
      <c r="A21" s="1232"/>
      <c r="B21" s="1234"/>
      <c r="C21" s="145" t="s">
        <v>44</v>
      </c>
      <c r="D21" s="137">
        <v>98.3</v>
      </c>
      <c r="E21" s="136">
        <f>ROUND(D21+(D21*'Løntabel gældende fra'!$D$7%),2)</f>
        <v>125.16</v>
      </c>
      <c r="F21" s="146" t="s">
        <v>48</v>
      </c>
      <c r="G21" s="147">
        <v>65.525400000000005</v>
      </c>
      <c r="H21" s="136">
        <f>ROUND(G21+(G21*'Løntabel gældende fra'!$D$7%),2)</f>
        <v>83.43</v>
      </c>
      <c r="I21" s="45"/>
      <c r="J21" s="1318"/>
      <c r="K21" s="1319"/>
      <c r="L21" s="982">
        <f>ROUND((650*C28),2)</f>
        <v>552.5</v>
      </c>
      <c r="M21" s="983">
        <f>ROUND((699.99*C28),2)</f>
        <v>594.99</v>
      </c>
      <c r="N21" s="145" t="s">
        <v>44</v>
      </c>
      <c r="O21" s="137">
        <v>98.3</v>
      </c>
      <c r="P21" s="136">
        <f>ROUND(O21+(O21*'Løntabel gældende fra'!$D$7%),2)</f>
        <v>125.16</v>
      </c>
      <c r="Q21" s="336" cm="1">
        <f t="array" ref="Q21">_xlfn.IFS($C$29&gt;M21,(M21-M20)*P21,$C$29&gt;=L21,($C$29-M20)*P21,$C$29&lt;L21,"")</f>
        <v>5319.3</v>
      </c>
      <c r="R21" s="336">
        <f t="shared" ref="R21:R23" si="2">ROUND(Q21,2)</f>
        <v>5319.3</v>
      </c>
      <c r="S21" s="982">
        <f>ROUND((750*F28),2)</f>
        <v>525</v>
      </c>
      <c r="T21" s="983">
        <f>ROUND((799.99*F28),2)</f>
        <v>559.99</v>
      </c>
      <c r="U21" s="145" t="s">
        <v>48</v>
      </c>
      <c r="V21" s="147">
        <v>65.525400000000005</v>
      </c>
      <c r="W21" s="136">
        <f>ROUND(V21+(V21*'Løntabel gældende fra'!$D$7%),2)</f>
        <v>83.43</v>
      </c>
      <c r="X21" s="214" cm="1">
        <f t="array" ref="X21">_xlfn.IFS($F$29&gt;T21,(T21-T20)*W21,$F$29&gt;=S21,($F$29-T20)*W21,$F$29&lt;S21,"")</f>
        <v>2920.05</v>
      </c>
    </row>
    <row r="22" spans="1:24" ht="15" customHeight="1">
      <c r="A22" s="1232"/>
      <c r="B22" s="1234"/>
      <c r="C22" s="145" t="s">
        <v>45</v>
      </c>
      <c r="D22" s="148">
        <v>131.07</v>
      </c>
      <c r="E22" s="136">
        <f>ROUND(D22+(D22*'Løntabel gældende fra'!$D$7%),2)</f>
        <v>166.88</v>
      </c>
      <c r="F22" s="146" t="s">
        <v>49</v>
      </c>
      <c r="G22" s="147">
        <v>131.07</v>
      </c>
      <c r="H22" s="136">
        <f>ROUND(G22+(G22*'Løntabel gældende fra'!$D$7%),2)</f>
        <v>166.88</v>
      </c>
      <c r="I22" s="45"/>
      <c r="J22" s="1318"/>
      <c r="K22" s="1319"/>
      <c r="L22" s="982">
        <f>ROUND((700*C28),2)</f>
        <v>595</v>
      </c>
      <c r="M22" s="983">
        <f>ROUND((749.99*C28),2)</f>
        <v>637.49</v>
      </c>
      <c r="N22" s="145" t="s">
        <v>45</v>
      </c>
      <c r="O22" s="148">
        <v>131.07</v>
      </c>
      <c r="P22" s="136">
        <f>ROUND(O22+(O22*'Løntabel gældende fra'!$D$7%),2)</f>
        <v>166.88</v>
      </c>
      <c r="Q22" s="336" cm="1">
        <f t="array" ref="Q22">_xlfn.IFS($C$29&gt;M22,(M22-M21)*P22,$C$29&gt;=L22,($C$29-M21)*P22,$C$29&lt;L22,"")</f>
        <v>7092.4</v>
      </c>
      <c r="R22" s="336">
        <f t="shared" si="2"/>
        <v>7092.4</v>
      </c>
      <c r="S22" s="982">
        <f>ROUND((800*F28),2)</f>
        <v>560</v>
      </c>
      <c r="T22" s="983">
        <f>ROUND((834.99*F28),2)</f>
        <v>584.49</v>
      </c>
      <c r="U22" s="145" t="s">
        <v>49</v>
      </c>
      <c r="V22" s="147">
        <v>131.07</v>
      </c>
      <c r="W22" s="136">
        <f>ROUND(V22+(V22*'Løntabel gældende fra'!$D$7%),2)</f>
        <v>166.88</v>
      </c>
      <c r="X22" s="214" cm="1">
        <f t="array" ref="X22">_xlfn.IFS($F$29&gt;T22,(T22-T21)*W22,$F$29&gt;=S22,($F$29-T21)*W22,$F$29&lt;S22,"")</f>
        <v>4088.56</v>
      </c>
    </row>
    <row r="23" spans="1:24" ht="15" customHeight="1" thickBot="1">
      <c r="A23" s="1235"/>
      <c r="B23" s="1236"/>
      <c r="C23" s="149" t="s">
        <v>46</v>
      </c>
      <c r="D23" s="150">
        <v>163.83000000000001</v>
      </c>
      <c r="E23" s="140">
        <f>ROUND(D23+(D23*'Løntabel gældende fra'!$D$7%),2)</f>
        <v>208.59</v>
      </c>
      <c r="F23" s="151" t="s">
        <v>50</v>
      </c>
      <c r="G23" s="152">
        <v>163.82830000000001</v>
      </c>
      <c r="H23" s="140">
        <f>ROUND(G23+(G23*'Løntabel gældende fra'!$D$7%),2)</f>
        <v>208.59</v>
      </c>
      <c r="I23" s="45"/>
      <c r="J23" s="1320"/>
      <c r="K23" s="1321"/>
      <c r="L23" s="984">
        <f>ROUND((750*C28),2)</f>
        <v>637.5</v>
      </c>
      <c r="M23" s="985">
        <v>0</v>
      </c>
      <c r="N23" s="149" t="s">
        <v>46</v>
      </c>
      <c r="O23" s="150">
        <v>163.83000000000001</v>
      </c>
      <c r="P23" s="140">
        <f>ROUND(O23+(O23*'Løntabel gældende fra'!$D$7%),2)</f>
        <v>208.59</v>
      </c>
      <c r="Q23" s="336">
        <f>IF(C29&gt;M22,(C29-M22)*P23,"")</f>
        <v>13038.960899999998</v>
      </c>
      <c r="R23" s="336">
        <f t="shared" si="2"/>
        <v>13038.96</v>
      </c>
      <c r="S23" s="984">
        <f>ROUND((835*F28),2)</f>
        <v>584.5</v>
      </c>
      <c r="T23" s="985">
        <v>0</v>
      </c>
      <c r="U23" s="149" t="s">
        <v>50</v>
      </c>
      <c r="V23" s="152">
        <v>163.82830000000001</v>
      </c>
      <c r="W23" s="140">
        <f>ROUND(V23+(V23*'Løntabel gældende fra'!$D$7%),2)</f>
        <v>208.59</v>
      </c>
      <c r="X23" s="215">
        <f>IF(F29&gt;T22,(F29-T22)*W23,"")</f>
        <v>3235.2308999999982</v>
      </c>
    </row>
    <row r="24" spans="1:24" s="113" customFormat="1" ht="21" customHeight="1" thickBot="1">
      <c r="A24" s="109"/>
      <c r="B24" s="109"/>
      <c r="C24" s="110"/>
      <c r="D24" s="111"/>
      <c r="E24" s="111"/>
      <c r="F24" s="110"/>
      <c r="G24" s="111"/>
      <c r="H24" s="111"/>
      <c r="I24" s="112"/>
      <c r="O24" s="113" t="s">
        <v>560</v>
      </c>
      <c r="Q24" s="981">
        <f>SUM(Q20:Q23)</f>
        <v>36975.602299999999</v>
      </c>
      <c r="R24" s="981">
        <f>SUM(R20:R23)</f>
        <v>36975.599999999999</v>
      </c>
      <c r="S24" s="981"/>
      <c r="T24" s="981"/>
      <c r="X24" s="981">
        <f>SUM(X20:X23)</f>
        <v>25221.8056</v>
      </c>
    </row>
    <row r="25" spans="1:24" ht="19.95" customHeight="1">
      <c r="A25" s="1177" t="s">
        <v>219</v>
      </c>
      <c r="B25" s="1250"/>
      <c r="C25" s="1250"/>
      <c r="D25" s="1250"/>
      <c r="E25" s="1250"/>
      <c r="F25" s="1250"/>
      <c r="G25" s="1250"/>
      <c r="H25" s="1250"/>
      <c r="I25" s="1251"/>
      <c r="O25" s="2" t="s">
        <v>561</v>
      </c>
      <c r="Q25" s="2">
        <f>ROUND(Q24/12,2)</f>
        <v>3081.3</v>
      </c>
      <c r="R25" s="2">
        <f>ROUND(R24/12,2)</f>
        <v>3081.3</v>
      </c>
      <c r="X25" s="2">
        <f>X24/12</f>
        <v>2101.8171333333335</v>
      </c>
    </row>
    <row r="26" spans="1:24" ht="19.95" customHeight="1" thickBot="1">
      <c r="A26" s="1104" t="str">
        <f>"Indtast det årlige timetal i de gule felter. Arket beregner derefter det månedlige undervisningstillæg pr. "&amp;'Løntabel gældende fra'!D1&amp;""</f>
        <v>Indtast det årlige timetal i de gule felter. Arket beregner derefter det månedlige undervisningstillæg pr. 01-08-2026</v>
      </c>
      <c r="B26" s="1105"/>
      <c r="C26" s="1105"/>
      <c r="D26" s="1105"/>
      <c r="E26" s="1105"/>
      <c r="F26" s="1105"/>
      <c r="G26" s="1105"/>
      <c r="H26" s="1105"/>
      <c r="I26" s="1106"/>
    </row>
    <row r="27" spans="1:24" ht="24" customHeight="1">
      <c r="A27" s="1230"/>
      <c r="B27" s="1231"/>
      <c r="C27" s="1227" t="s">
        <v>4</v>
      </c>
      <c r="D27" s="1227"/>
      <c r="E27" s="1228"/>
      <c r="F27" s="1226" t="s">
        <v>5</v>
      </c>
      <c r="G27" s="1227"/>
      <c r="H27" s="1227"/>
      <c r="I27" s="1228"/>
    </row>
    <row r="28" spans="1:24" ht="46.95" customHeight="1">
      <c r="A28" s="1252" t="s">
        <v>558</v>
      </c>
      <c r="B28" s="1253"/>
      <c r="C28" s="1328">
        <v>0.85</v>
      </c>
      <c r="D28" s="1329"/>
      <c r="E28" s="1330"/>
      <c r="F28" s="1328">
        <v>0.7</v>
      </c>
      <c r="G28" s="1329"/>
      <c r="H28" s="1329"/>
      <c r="I28" s="1330"/>
    </row>
    <row r="29" spans="1:24" ht="19.95" customHeight="1">
      <c r="A29" s="1242" t="s">
        <v>12</v>
      </c>
      <c r="B29" s="1243"/>
      <c r="C29" s="1244">
        <v>700</v>
      </c>
      <c r="D29" s="1245"/>
      <c r="E29" s="1246"/>
      <c r="F29" s="1244">
        <v>600</v>
      </c>
      <c r="G29" s="1245"/>
      <c r="H29" s="1245"/>
      <c r="I29" s="1246"/>
    </row>
    <row r="30" spans="1:24" ht="32.25" customHeight="1" thickBot="1">
      <c r="A30" s="1240" t="str">
        <f>"Mdr. undervisningstillæg pr. "&amp;'Løntabel gældende fra'!D1&amp;""</f>
        <v>Mdr. undervisningstillæg pr. 01-08-2026</v>
      </c>
      <c r="B30" s="1241"/>
      <c r="C30" s="1247">
        <f>IF(C29&gt;0,Q25,"")</f>
        <v>3081.3</v>
      </c>
      <c r="D30" s="1248" t="e">
        <f t="shared" ref="D30:H30" si="3">IF(D29&lt;750,D29*F20,IF(AND(D29&gt;=750,D29&lt;800),750*F20+(D29-750)*F21,IF(AND(D29&gt;=800,D29&lt;835),750*F20+50*F21+(D29-800)*F22,IF(D29&gt;=835,750*F20+50*F21+35*F22+(D29-835)*F23,))))</f>
        <v>#VALUE!</v>
      </c>
      <c r="E30" s="1249">
        <f t="shared" si="3"/>
        <v>0</v>
      </c>
      <c r="F30" s="1247">
        <f>IF(F29&gt;0,X25,"")</f>
        <v>2101.8171333333335</v>
      </c>
      <c r="G30" s="1248">
        <f t="shared" si="3"/>
        <v>0</v>
      </c>
      <c r="H30" s="1248">
        <f t="shared" si="3"/>
        <v>0</v>
      </c>
      <c r="I30" s="1249" t="e">
        <f>IF(I29&lt;750,I29*#REF!,IF(AND(I29&gt;=750,I29&lt;800),750*#REF!+(I29-750)*#REF!,IF(AND(I29&gt;=800,I29&lt;835),750*#REF!+50*#REF!+(I29-800)*#REF!,IF(I29&gt;=835,750*#REF!+50*#REF!+35*#REF!+(I29-835)*#REF!,))))</f>
        <v>#REF!</v>
      </c>
    </row>
    <row r="31" spans="1:24" ht="10.5" customHeight="1" thickBot="1">
      <c r="A31" s="51"/>
      <c r="B31" s="51"/>
      <c r="C31" s="8"/>
      <c r="D31" s="8"/>
      <c r="E31" s="8"/>
      <c r="F31" s="8"/>
      <c r="G31" s="8"/>
      <c r="H31" s="8"/>
      <c r="I31" s="8"/>
    </row>
    <row r="32" spans="1:24" ht="19.95" customHeight="1">
      <c r="A32" s="1271" t="s">
        <v>277</v>
      </c>
      <c r="B32" s="1272"/>
      <c r="C32" s="1272"/>
      <c r="D32" s="1272"/>
      <c r="E32" s="1272"/>
      <c r="F32" s="1272"/>
      <c r="G32" s="1272"/>
      <c r="H32" s="1272"/>
      <c r="I32" s="1273"/>
    </row>
    <row r="33" spans="1:9" ht="19.95" customHeight="1">
      <c r="A33" s="1274" t="s">
        <v>220</v>
      </c>
      <c r="B33" s="1275"/>
      <c r="C33" s="1275"/>
      <c r="D33" s="1275"/>
      <c r="E33" s="1275"/>
      <c r="F33" s="1275"/>
      <c r="G33" s="1275"/>
      <c r="H33" s="1275"/>
      <c r="I33" s="1276"/>
    </row>
    <row r="34" spans="1:9" ht="19.95" customHeight="1" thickBot="1">
      <c r="A34" s="1281" t="s">
        <v>285</v>
      </c>
      <c r="B34" s="1282"/>
      <c r="C34" s="1282"/>
      <c r="D34" s="1282"/>
      <c r="E34" s="1282"/>
      <c r="F34" s="1282"/>
      <c r="G34" s="1282"/>
      <c r="H34" s="1282"/>
      <c r="I34" s="1283"/>
    </row>
    <row r="35" spans="1:9" ht="24" customHeight="1" thickBot="1">
      <c r="A35" s="1118" t="s">
        <v>99</v>
      </c>
      <c r="B35" s="1269" t="s">
        <v>4</v>
      </c>
      <c r="C35" s="1269"/>
      <c r="D35" s="1269"/>
      <c r="E35" s="1270"/>
      <c r="F35" s="1293" t="s">
        <v>5</v>
      </c>
      <c r="G35" s="1269"/>
      <c r="H35" s="1269"/>
      <c r="I35" s="1270"/>
    </row>
    <row r="36" spans="1:9" ht="24" customHeight="1" thickBot="1">
      <c r="A36" s="1135"/>
      <c r="B36" s="415" t="s">
        <v>7</v>
      </c>
      <c r="C36" s="416" t="s">
        <v>8</v>
      </c>
      <c r="D36" s="415" t="s">
        <v>10</v>
      </c>
      <c r="E36" s="417" t="s">
        <v>9</v>
      </c>
      <c r="F36" s="418" t="s">
        <v>7</v>
      </c>
      <c r="G36" s="419" t="s">
        <v>8</v>
      </c>
      <c r="H36" s="349" t="s">
        <v>10</v>
      </c>
      <c r="I36" s="420" t="s">
        <v>9</v>
      </c>
    </row>
    <row r="37" spans="1:9" ht="15" customHeight="1">
      <c r="A37" s="325">
        <v>1</v>
      </c>
      <c r="B37" s="409">
        <v>325</v>
      </c>
      <c r="C37" s="412">
        <v>575</v>
      </c>
      <c r="D37" s="409">
        <v>900</v>
      </c>
      <c r="E37" s="154">
        <v>1150</v>
      </c>
      <c r="F37" s="414">
        <v>375</v>
      </c>
      <c r="G37" s="158">
        <v>625</v>
      </c>
      <c r="H37" s="336">
        <v>1000</v>
      </c>
      <c r="I37" s="158">
        <v>1250</v>
      </c>
    </row>
    <row r="38" spans="1:9" ht="15" customHeight="1">
      <c r="A38" s="326">
        <v>2</v>
      </c>
      <c r="B38" s="410">
        <v>275</v>
      </c>
      <c r="C38" s="412">
        <v>475</v>
      </c>
      <c r="D38" s="410">
        <v>750</v>
      </c>
      <c r="E38" s="154">
        <v>950</v>
      </c>
      <c r="F38" s="334">
        <v>325</v>
      </c>
      <c r="G38" s="175">
        <v>575</v>
      </c>
      <c r="H38" s="339">
        <v>900</v>
      </c>
      <c r="I38" s="175">
        <v>1150</v>
      </c>
    </row>
    <row r="39" spans="1:9" ht="15" customHeight="1">
      <c r="A39" s="326">
        <v>3</v>
      </c>
      <c r="B39" s="410">
        <v>175</v>
      </c>
      <c r="C39" s="412">
        <v>325</v>
      </c>
      <c r="D39" s="410">
        <v>500</v>
      </c>
      <c r="E39" s="154">
        <v>625</v>
      </c>
      <c r="F39" s="334">
        <v>300</v>
      </c>
      <c r="G39" s="175">
        <v>525</v>
      </c>
      <c r="H39" s="339">
        <v>825</v>
      </c>
      <c r="I39" s="175">
        <v>1050</v>
      </c>
    </row>
    <row r="40" spans="1:9" ht="15" customHeight="1" thickBot="1">
      <c r="A40" s="327">
        <v>4</v>
      </c>
      <c r="B40" s="411">
        <v>175</v>
      </c>
      <c r="C40" s="413">
        <v>325</v>
      </c>
      <c r="D40" s="411">
        <v>500</v>
      </c>
      <c r="E40" s="155">
        <v>625</v>
      </c>
      <c r="F40" s="340">
        <v>300</v>
      </c>
      <c r="G40" s="159">
        <v>525</v>
      </c>
      <c r="H40" s="337">
        <v>825</v>
      </c>
      <c r="I40" s="159">
        <v>1050</v>
      </c>
    </row>
    <row r="41" spans="1:9" ht="24" customHeight="1" thickBot="1">
      <c r="A41" s="52"/>
      <c r="B41" s="52"/>
      <c r="C41" s="8"/>
      <c r="D41" s="8"/>
      <c r="E41" s="8"/>
      <c r="F41" s="8"/>
      <c r="G41" s="8"/>
      <c r="H41" s="8"/>
      <c r="I41" s="8"/>
    </row>
    <row r="42" spans="1:9" ht="19.95" customHeight="1">
      <c r="A42" s="1177" t="s">
        <v>278</v>
      </c>
      <c r="B42" s="1250"/>
      <c r="C42" s="1250"/>
      <c r="D42" s="1250"/>
      <c r="E42" s="1250"/>
      <c r="F42" s="1250"/>
      <c r="G42" s="1251"/>
      <c r="H42" s="58"/>
      <c r="I42" s="7"/>
    </row>
    <row r="43" spans="1:9" ht="19.95" customHeight="1" thickBot="1">
      <c r="A43" s="1104" t="s">
        <v>286</v>
      </c>
      <c r="B43" s="1105"/>
      <c r="C43" s="1105"/>
      <c r="D43" s="1105"/>
      <c r="E43" s="1105"/>
      <c r="F43" s="1105"/>
      <c r="G43" s="1106"/>
      <c r="H43" s="58"/>
      <c r="I43" s="7"/>
    </row>
    <row r="44" spans="1:9" ht="13.05" customHeight="1">
      <c r="A44" s="1117" t="s">
        <v>0</v>
      </c>
      <c r="B44" s="1157" t="s">
        <v>128</v>
      </c>
      <c r="C44" s="1194"/>
      <c r="D44" s="1157" t="s">
        <v>306</v>
      </c>
      <c r="E44" s="1158"/>
      <c r="F44" s="1157" t="s">
        <v>253</v>
      </c>
      <c r="G44" s="1194"/>
      <c r="H44" s="42"/>
      <c r="I44" s="7"/>
    </row>
    <row r="45" spans="1:9" ht="13.95" customHeight="1" thickBot="1">
      <c r="A45" s="1135"/>
      <c r="B45" s="1229">
        <f>$D$19</f>
        <v>40999</v>
      </c>
      <c r="C45" s="1195"/>
      <c r="D45" s="1229" t="str">
        <f>'Løntabel gældende fra'!$D$1</f>
        <v>01-08-2026</v>
      </c>
      <c r="E45" s="1160"/>
      <c r="F45" s="1229" t="str">
        <f>'Løntabel gældende fra'!$D$1</f>
        <v>01-08-2026</v>
      </c>
      <c r="G45" s="1195"/>
      <c r="H45" s="42"/>
      <c r="I45" s="7"/>
    </row>
    <row r="46" spans="1:9" ht="15" customHeight="1">
      <c r="A46" s="325">
        <v>1</v>
      </c>
      <c r="B46" s="1180">
        <v>5200</v>
      </c>
      <c r="C46" s="1180"/>
      <c r="D46" s="1186">
        <f>ROUND(B46+(B46*'Løntabel gældende fra'!$D$7%),2)</f>
        <v>6620.66</v>
      </c>
      <c r="E46" s="1187"/>
      <c r="F46" s="1137">
        <f>ROUND(D46/12,2)</f>
        <v>551.72</v>
      </c>
      <c r="G46" s="1138"/>
      <c r="H46" s="10"/>
      <c r="I46" s="7"/>
    </row>
    <row r="47" spans="1:9" ht="15" customHeight="1">
      <c r="A47" s="326">
        <v>2</v>
      </c>
      <c r="B47" s="1097">
        <v>7900</v>
      </c>
      <c r="C47" s="1097"/>
      <c r="D47" s="1301">
        <f>ROUND(B47+(B47*'Løntabel gældende fra'!$D$7%),2)</f>
        <v>10058.31</v>
      </c>
      <c r="E47" s="1181"/>
      <c r="F47" s="1098">
        <f>ROUND(D47/12,2)</f>
        <v>838.19</v>
      </c>
      <c r="G47" s="1099"/>
      <c r="H47" s="10"/>
      <c r="I47" s="7"/>
    </row>
    <row r="48" spans="1:9" ht="15" customHeight="1" thickBot="1">
      <c r="A48" s="327">
        <v>3</v>
      </c>
      <c r="B48" s="1146">
        <v>7900</v>
      </c>
      <c r="C48" s="1146"/>
      <c r="D48" s="1300">
        <f>ROUND(B48+(B48*'Løntabel gældende fra'!$D$7%),2)</f>
        <v>10058.31</v>
      </c>
      <c r="E48" s="1182"/>
      <c r="F48" s="1147">
        <f>ROUND(D48/12,2)</f>
        <v>838.19</v>
      </c>
      <c r="G48" s="1148"/>
      <c r="H48" s="10"/>
      <c r="I48" s="7"/>
    </row>
    <row r="49" spans="1:23" s="57" customFormat="1" ht="24" customHeight="1" thickBot="1">
      <c r="A49" s="42"/>
      <c r="B49" s="54"/>
      <c r="C49" s="42"/>
      <c r="D49" s="55"/>
      <c r="E49" s="42"/>
      <c r="F49" s="55"/>
      <c r="G49" s="42"/>
      <c r="H49" s="42"/>
      <c r="I49" s="56"/>
    </row>
    <row r="50" spans="1:23" ht="19.95" customHeight="1">
      <c r="A50" s="1177" t="s">
        <v>380</v>
      </c>
      <c r="B50" s="1178"/>
      <c r="C50" s="1178"/>
      <c r="D50" s="1178"/>
      <c r="E50" s="1178"/>
      <c r="F50" s="1178"/>
      <c r="G50" s="1179"/>
      <c r="H50" s="59"/>
      <c r="K50" s="16"/>
      <c r="L50" s="16"/>
      <c r="M50" s="16"/>
      <c r="N50" s="16"/>
      <c r="O50" s="16"/>
      <c r="P50" s="16"/>
      <c r="Q50" s="16"/>
      <c r="R50" s="16"/>
      <c r="S50" s="16"/>
      <c r="T50" s="16"/>
      <c r="U50" s="16"/>
      <c r="V50" s="16"/>
      <c r="W50" s="16"/>
    </row>
    <row r="51" spans="1:23" ht="19.95" customHeight="1" thickBot="1">
      <c r="A51" s="1104" t="s">
        <v>287</v>
      </c>
      <c r="B51" s="1105"/>
      <c r="C51" s="1105"/>
      <c r="D51" s="1105"/>
      <c r="E51" s="1105"/>
      <c r="F51" s="1105"/>
      <c r="G51" s="1106"/>
      <c r="H51" s="59"/>
      <c r="K51" s="16"/>
      <c r="L51" s="16"/>
      <c r="M51" s="16"/>
      <c r="N51" s="16"/>
      <c r="O51" s="16"/>
      <c r="P51" s="16"/>
      <c r="Q51" s="16"/>
      <c r="R51" s="16"/>
      <c r="S51" s="16"/>
      <c r="T51" s="16"/>
      <c r="U51" s="16"/>
      <c r="V51" s="16"/>
      <c r="W51" s="16"/>
    </row>
    <row r="52" spans="1:23" ht="16.05" customHeight="1">
      <c r="A52" s="1117" t="s">
        <v>0</v>
      </c>
      <c r="B52" s="1100" t="s">
        <v>128</v>
      </c>
      <c r="C52" s="1101"/>
      <c r="D52" s="1100" t="s">
        <v>306</v>
      </c>
      <c r="E52" s="1101"/>
      <c r="F52" s="1100" t="s">
        <v>253</v>
      </c>
      <c r="G52" s="1101"/>
      <c r="H52" s="42"/>
      <c r="K52" s="16"/>
      <c r="L52" s="16"/>
      <c r="M52" s="16"/>
      <c r="N52" s="16"/>
      <c r="O52" s="16"/>
      <c r="P52" s="16"/>
      <c r="Q52" s="16"/>
      <c r="R52" s="16"/>
      <c r="S52" s="16"/>
      <c r="T52" s="16"/>
      <c r="U52" s="16"/>
      <c r="V52" s="16"/>
      <c r="W52" s="16"/>
    </row>
    <row r="53" spans="1:23" ht="16.05" customHeight="1" thickBot="1">
      <c r="A53" s="1118"/>
      <c r="B53" s="1102">
        <f>C9</f>
        <v>40999</v>
      </c>
      <c r="C53" s="1103"/>
      <c r="D53" s="1280" t="str">
        <f>'Løntabel gældende fra'!D1</f>
        <v>01-08-2026</v>
      </c>
      <c r="E53" s="1103"/>
      <c r="F53" s="1280" t="str">
        <f>'Løntabel gældende fra'!D1</f>
        <v>01-08-2026</v>
      </c>
      <c r="G53" s="1103"/>
      <c r="H53" s="42"/>
      <c r="K53" s="16"/>
      <c r="L53" s="16"/>
      <c r="M53" s="16"/>
      <c r="N53" s="16"/>
      <c r="O53" s="16"/>
      <c r="P53" s="16"/>
      <c r="Q53" s="16"/>
      <c r="R53" s="16"/>
      <c r="S53" s="16"/>
      <c r="T53" s="16"/>
      <c r="U53" s="16"/>
      <c r="V53" s="16"/>
      <c r="W53" s="16"/>
    </row>
    <row r="54" spans="1:23" ht="15" customHeight="1">
      <c r="A54" s="325">
        <v>1</v>
      </c>
      <c r="B54" s="1188">
        <v>2800</v>
      </c>
      <c r="C54" s="1188"/>
      <c r="D54" s="1175">
        <f>ROUND(B54+(B54*'Løntabel gældende fra'!$D$7%),2)</f>
        <v>3564.97</v>
      </c>
      <c r="E54" s="1176"/>
      <c r="F54" s="1186">
        <f>ROUND(D54/12,2)</f>
        <v>297.08</v>
      </c>
      <c r="G54" s="1187"/>
      <c r="H54" s="10"/>
      <c r="K54" s="16"/>
      <c r="L54" s="16"/>
      <c r="M54" s="16"/>
      <c r="N54" s="16"/>
      <c r="O54" s="16"/>
      <c r="P54" s="16"/>
      <c r="Q54" s="16"/>
      <c r="R54" s="16"/>
      <c r="S54" s="16"/>
      <c r="T54" s="16"/>
      <c r="U54" s="16"/>
      <c r="V54" s="16"/>
      <c r="W54" s="16"/>
    </row>
    <row r="55" spans="1:23" ht="15" customHeight="1">
      <c r="A55" s="326">
        <v>2</v>
      </c>
      <c r="B55" s="1097">
        <v>2800</v>
      </c>
      <c r="C55" s="1097"/>
      <c r="D55" s="1098">
        <f>ROUND(B55+(B55*'Løntabel gældende fra'!$D$7%),2)</f>
        <v>3564.97</v>
      </c>
      <c r="E55" s="1099"/>
      <c r="F55" s="1189">
        <f t="shared" ref="F55:F57" si="4">ROUND(D55/12,2)</f>
        <v>297.08</v>
      </c>
      <c r="G55" s="1190"/>
      <c r="H55" s="10"/>
      <c r="K55" s="16"/>
      <c r="L55" s="16"/>
      <c r="M55" s="16"/>
      <c r="N55" s="16"/>
      <c r="O55" s="16"/>
      <c r="P55" s="16"/>
      <c r="Q55" s="16"/>
      <c r="R55" s="16"/>
      <c r="S55" s="16"/>
      <c r="T55" s="16"/>
      <c r="U55" s="16"/>
      <c r="V55" s="16"/>
      <c r="W55" s="16"/>
    </row>
    <row r="56" spans="1:23" ht="15" customHeight="1">
      <c r="A56" s="328">
        <v>3</v>
      </c>
      <c r="B56" s="1097">
        <v>2800</v>
      </c>
      <c r="C56" s="1097"/>
      <c r="D56" s="1098">
        <f>ROUND(B56+(B56*'Løntabel gældende fra'!$D$7%),2)</f>
        <v>3564.97</v>
      </c>
      <c r="E56" s="1099"/>
      <c r="F56" s="1189">
        <f t="shared" si="4"/>
        <v>297.08</v>
      </c>
      <c r="G56" s="1190"/>
      <c r="H56" s="10"/>
      <c r="K56" s="16"/>
      <c r="L56" s="16"/>
      <c r="M56" s="16"/>
      <c r="N56" s="16"/>
      <c r="O56" s="16"/>
      <c r="P56" s="16"/>
      <c r="Q56" s="16"/>
      <c r="R56" s="16"/>
      <c r="S56" s="16"/>
      <c r="T56" s="16"/>
      <c r="U56" s="16"/>
      <c r="V56" s="16"/>
      <c r="W56" s="16"/>
    </row>
    <row r="57" spans="1:23" ht="15" customHeight="1" thickBot="1">
      <c r="A57" s="327">
        <v>4</v>
      </c>
      <c r="B57" s="1146">
        <v>2800</v>
      </c>
      <c r="C57" s="1146"/>
      <c r="D57" s="1147">
        <f>ROUND(B57+(B57*'Løntabel gældende fra'!$D$7%),2)</f>
        <v>3564.97</v>
      </c>
      <c r="E57" s="1148"/>
      <c r="F57" s="1300">
        <f t="shared" si="4"/>
        <v>297.08</v>
      </c>
      <c r="G57" s="1182"/>
      <c r="H57" s="10"/>
      <c r="K57" s="16"/>
      <c r="L57" s="16"/>
      <c r="M57" s="16"/>
      <c r="N57" s="16"/>
      <c r="O57" s="16"/>
      <c r="P57" s="16"/>
      <c r="Q57" s="16"/>
      <c r="R57" s="16"/>
      <c r="S57" s="16"/>
      <c r="T57" s="16"/>
      <c r="U57" s="16"/>
      <c r="V57" s="16"/>
      <c r="W57" s="16"/>
    </row>
    <row r="58" spans="1:23" ht="25.05" customHeight="1" thickBot="1">
      <c r="A58" s="42"/>
      <c r="B58" s="8"/>
      <c r="C58" s="8"/>
      <c r="D58" s="8"/>
      <c r="E58" s="8"/>
      <c r="F58" s="44"/>
      <c r="G58" s="44"/>
      <c r="H58" s="44"/>
      <c r="K58" s="16"/>
      <c r="L58" s="16"/>
      <c r="M58" s="16"/>
      <c r="N58" s="16"/>
      <c r="O58" s="16"/>
      <c r="P58" s="16"/>
      <c r="Q58" s="16"/>
      <c r="R58" s="16"/>
      <c r="S58" s="16"/>
      <c r="T58" s="16"/>
      <c r="U58" s="16"/>
      <c r="V58" s="16"/>
      <c r="W58" s="16"/>
    </row>
    <row r="59" spans="1:23" ht="19.95" customHeight="1">
      <c r="A59" s="1177" t="s">
        <v>528</v>
      </c>
      <c r="B59" s="1178"/>
      <c r="C59" s="1178"/>
      <c r="D59" s="1178"/>
      <c r="E59" s="1178"/>
      <c r="F59" s="1178"/>
      <c r="G59" s="1179"/>
      <c r="H59" s="59"/>
      <c r="K59" s="16"/>
      <c r="L59" s="16"/>
      <c r="M59" s="16"/>
      <c r="N59" s="16"/>
      <c r="O59" s="16"/>
      <c r="P59" s="16"/>
      <c r="Q59" s="16"/>
      <c r="R59" s="16"/>
      <c r="S59" s="16"/>
      <c r="T59" s="16"/>
      <c r="U59" s="16"/>
      <c r="V59" s="16"/>
      <c r="W59" s="16"/>
    </row>
    <row r="60" spans="1:23" ht="19.95" customHeight="1" thickBot="1">
      <c r="A60" s="1104" t="s">
        <v>287</v>
      </c>
      <c r="B60" s="1105"/>
      <c r="C60" s="1105"/>
      <c r="D60" s="1105"/>
      <c r="E60" s="1105"/>
      <c r="F60" s="1105"/>
      <c r="G60" s="1106"/>
      <c r="H60" s="59"/>
      <c r="K60" s="16"/>
      <c r="L60" s="16"/>
      <c r="M60" s="16"/>
      <c r="N60" s="16"/>
      <c r="O60" s="16"/>
      <c r="P60" s="16"/>
      <c r="Q60" s="16"/>
      <c r="R60" s="16"/>
      <c r="S60" s="16"/>
      <c r="T60" s="16"/>
      <c r="U60" s="16"/>
      <c r="V60" s="16"/>
      <c r="W60" s="16"/>
    </row>
    <row r="61" spans="1:23" ht="16.05" customHeight="1">
      <c r="A61" s="1117" t="s">
        <v>0</v>
      </c>
      <c r="B61" s="1100" t="s">
        <v>128</v>
      </c>
      <c r="C61" s="1101"/>
      <c r="D61" s="1100" t="s">
        <v>306</v>
      </c>
      <c r="E61" s="1101"/>
      <c r="F61" s="1100" t="s">
        <v>253</v>
      </c>
      <c r="G61" s="1101"/>
      <c r="H61" s="42"/>
      <c r="K61" s="16"/>
      <c r="L61" s="16"/>
      <c r="M61" s="16"/>
      <c r="N61" s="16"/>
      <c r="O61" s="16"/>
      <c r="P61" s="16"/>
      <c r="Q61" s="16"/>
      <c r="R61" s="16"/>
      <c r="S61" s="16"/>
      <c r="T61" s="16"/>
      <c r="U61" s="16"/>
      <c r="V61" s="16"/>
      <c r="W61" s="16"/>
    </row>
    <row r="62" spans="1:23" ht="16.05" customHeight="1" thickBot="1">
      <c r="A62" s="1118"/>
      <c r="B62" s="1102">
        <f>B53</f>
        <v>40999</v>
      </c>
      <c r="C62" s="1103"/>
      <c r="D62" s="1280" t="str">
        <f>'Løntabel gældende fra'!D1</f>
        <v>01-08-2026</v>
      </c>
      <c r="E62" s="1103"/>
      <c r="F62" s="1280" t="str">
        <f>'Løntabel gældende fra'!D1</f>
        <v>01-08-2026</v>
      </c>
      <c r="G62" s="1103"/>
      <c r="H62" s="42"/>
      <c r="K62" s="16"/>
      <c r="L62" s="16"/>
      <c r="M62" s="16"/>
      <c r="N62" s="16"/>
      <c r="O62" s="16"/>
      <c r="P62" s="16"/>
      <c r="Q62" s="16"/>
      <c r="R62" s="16"/>
      <c r="S62" s="16"/>
      <c r="T62" s="16"/>
      <c r="U62" s="16"/>
      <c r="V62" s="16"/>
      <c r="W62" s="16"/>
    </row>
    <row r="63" spans="1:23" ht="15" customHeight="1">
      <c r="A63" s="325">
        <v>1</v>
      </c>
      <c r="B63" s="1188">
        <v>4100</v>
      </c>
      <c r="C63" s="1188"/>
      <c r="D63" s="1175">
        <f>ROUND(B63+(B63*'Løntabel gældende fra'!$D$7%),2)</f>
        <v>5220.1400000000003</v>
      </c>
      <c r="E63" s="1176"/>
      <c r="F63" s="1188">
        <f>ROUND(D63/12,2)</f>
        <v>435.01</v>
      </c>
      <c r="G63" s="1187"/>
      <c r="H63" s="10"/>
      <c r="K63" s="16"/>
      <c r="L63" s="16"/>
      <c r="M63" s="16"/>
      <c r="N63" s="16"/>
      <c r="O63" s="16"/>
      <c r="P63" s="16"/>
      <c r="Q63" s="16"/>
      <c r="R63" s="16"/>
      <c r="S63" s="16"/>
      <c r="T63" s="16"/>
      <c r="U63" s="16"/>
      <c r="V63" s="16"/>
      <c r="W63" s="16"/>
    </row>
    <row r="64" spans="1:23" ht="15" customHeight="1">
      <c r="A64" s="326">
        <v>2</v>
      </c>
      <c r="B64" s="1097">
        <v>4100</v>
      </c>
      <c r="C64" s="1097"/>
      <c r="D64" s="1098">
        <f>ROUND(B64+(B64*'Løntabel gældende fra'!$D$7%),2)</f>
        <v>5220.1400000000003</v>
      </c>
      <c r="E64" s="1099"/>
      <c r="F64" s="1180">
        <f>ROUND(D64/12,2)</f>
        <v>435.01</v>
      </c>
      <c r="G64" s="1181"/>
      <c r="H64" s="10"/>
      <c r="K64" s="16"/>
      <c r="L64" s="16"/>
      <c r="M64" s="16"/>
      <c r="N64" s="16"/>
      <c r="O64" s="16"/>
      <c r="P64" s="16"/>
      <c r="Q64" s="16"/>
      <c r="R64" s="16"/>
      <c r="S64" s="16"/>
      <c r="T64" s="16"/>
      <c r="U64" s="16"/>
      <c r="V64" s="16"/>
      <c r="W64" s="16"/>
    </row>
    <row r="65" spans="1:23" ht="15" customHeight="1">
      <c r="A65" s="328">
        <v>3</v>
      </c>
      <c r="B65" s="1097">
        <v>4100</v>
      </c>
      <c r="C65" s="1097"/>
      <c r="D65" s="1098">
        <f>ROUND(B65+(B65*'Løntabel gældende fra'!$D$7%),2)</f>
        <v>5220.1400000000003</v>
      </c>
      <c r="E65" s="1099"/>
      <c r="F65" s="1180">
        <f>ROUND(D65/12,2)</f>
        <v>435.01</v>
      </c>
      <c r="G65" s="1181"/>
      <c r="H65" s="10"/>
      <c r="K65" s="16"/>
      <c r="L65" s="16"/>
      <c r="M65" s="16"/>
      <c r="N65" s="16"/>
      <c r="O65" s="16"/>
      <c r="P65" s="16"/>
      <c r="Q65" s="16"/>
      <c r="R65" s="16"/>
      <c r="S65" s="16"/>
      <c r="T65" s="16"/>
      <c r="U65" s="16"/>
      <c r="V65" s="16"/>
      <c r="W65" s="16"/>
    </row>
    <row r="66" spans="1:23" ht="15" customHeight="1" thickBot="1">
      <c r="A66" s="327">
        <v>4</v>
      </c>
      <c r="B66" s="1146">
        <v>4100</v>
      </c>
      <c r="C66" s="1146"/>
      <c r="D66" s="1147">
        <f>ROUND(B66+(B66*'Løntabel gældende fra'!$D$7%),2)</f>
        <v>5220.1400000000003</v>
      </c>
      <c r="E66" s="1148"/>
      <c r="F66" s="1146">
        <f>ROUND(D66/12,2)</f>
        <v>435.01</v>
      </c>
      <c r="G66" s="1182"/>
      <c r="H66" s="10"/>
      <c r="K66" s="16"/>
      <c r="L66" s="16"/>
      <c r="M66" s="16"/>
      <c r="N66" s="16"/>
      <c r="O66" s="16"/>
      <c r="P66" s="16"/>
      <c r="Q66" s="16"/>
      <c r="R66" s="16"/>
      <c r="S66" s="16"/>
      <c r="T66" s="16"/>
      <c r="U66" s="16"/>
      <c r="V66" s="16"/>
      <c r="W66" s="16"/>
    </row>
    <row r="67" spans="1:23" ht="25.05" customHeight="1" thickBot="1">
      <c r="A67" s="42"/>
      <c r="B67" s="8"/>
      <c r="C67" s="8"/>
      <c r="D67" s="8"/>
      <c r="E67" s="8"/>
      <c r="F67" s="44"/>
      <c r="G67" s="44"/>
      <c r="H67" s="44"/>
      <c r="K67" s="16"/>
      <c r="L67" s="16"/>
      <c r="M67" s="16"/>
      <c r="N67" s="16"/>
      <c r="O67" s="16"/>
      <c r="P67" s="16"/>
      <c r="Q67" s="16"/>
      <c r="R67" s="16"/>
      <c r="S67" s="16"/>
      <c r="T67" s="16"/>
      <c r="U67" s="16"/>
      <c r="V67" s="16"/>
      <c r="W67" s="16"/>
    </row>
    <row r="68" spans="1:23" ht="19.95" customHeight="1">
      <c r="A68" s="1114" t="s">
        <v>279</v>
      </c>
      <c r="B68" s="1115"/>
      <c r="C68" s="1115"/>
      <c r="D68" s="1115"/>
      <c r="E68" s="1115"/>
      <c r="F68" s="1115"/>
      <c r="G68" s="1115"/>
      <c r="H68" s="1115"/>
      <c r="I68" s="1116"/>
    </row>
    <row r="69" spans="1:23" ht="19.95" customHeight="1" thickBot="1">
      <c r="A69" s="1169" t="s">
        <v>288</v>
      </c>
      <c r="B69" s="1170"/>
      <c r="C69" s="1170"/>
      <c r="D69" s="1170"/>
      <c r="E69" s="1170"/>
      <c r="F69" s="1170"/>
      <c r="G69" s="1170"/>
      <c r="H69" s="1170"/>
      <c r="I69" s="1171"/>
    </row>
    <row r="70" spans="1:23" ht="28.05" customHeight="1">
      <c r="A70" s="1140" t="s">
        <v>267</v>
      </c>
      <c r="B70" s="1141"/>
      <c r="C70" s="1141"/>
      <c r="D70" s="1141"/>
      <c r="E70" s="1141"/>
      <c r="F70" s="1142"/>
      <c r="G70" s="308" t="s">
        <v>128</v>
      </c>
      <c r="H70" s="308" t="s">
        <v>98</v>
      </c>
      <c r="I70" s="566" t="s">
        <v>253</v>
      </c>
    </row>
    <row r="71" spans="1:23" ht="15" customHeight="1" thickBot="1">
      <c r="A71" s="1140"/>
      <c r="B71" s="1141"/>
      <c r="C71" s="1141"/>
      <c r="D71" s="1141"/>
      <c r="E71" s="1141"/>
      <c r="F71" s="1142"/>
      <c r="G71" s="309">
        <f>C9</f>
        <v>40999</v>
      </c>
      <c r="H71" s="309">
        <f>C9</f>
        <v>40999</v>
      </c>
      <c r="I71" s="309" t="str">
        <f>'Løntabel gældende fra'!$D$1</f>
        <v>01-08-2026</v>
      </c>
    </row>
    <row r="72" spans="1:23" ht="15" customHeight="1" thickBot="1">
      <c r="A72" s="1143"/>
      <c r="B72" s="1144"/>
      <c r="C72" s="1144"/>
      <c r="D72" s="1144"/>
      <c r="E72" s="1144"/>
      <c r="F72" s="1145"/>
      <c r="G72" s="156">
        <v>19300</v>
      </c>
      <c r="H72" s="160">
        <f>ROUND(G72/12,2)</f>
        <v>1608.33</v>
      </c>
      <c r="I72" s="898">
        <f>ROUND(H72+(H72*'Løntabel gældende fra'!$D$7%),2)</f>
        <v>2047.73</v>
      </c>
    </row>
    <row r="73" spans="1:23" ht="24" customHeight="1" thickBot="1">
      <c r="A73" s="7"/>
      <c r="B73" s="7"/>
      <c r="C73" s="7" t="s">
        <v>16</v>
      </c>
      <c r="D73" s="7"/>
      <c r="E73" s="7"/>
      <c r="F73" s="7"/>
      <c r="G73" s="7"/>
      <c r="H73" s="7"/>
      <c r="I73" s="7"/>
    </row>
    <row r="74" spans="1:23" ht="19.95" customHeight="1">
      <c r="A74" s="1114" t="s">
        <v>281</v>
      </c>
      <c r="B74" s="1115"/>
      <c r="C74" s="1115"/>
      <c r="D74" s="1115"/>
      <c r="E74" s="1115"/>
      <c r="F74" s="1115"/>
      <c r="G74" s="1115"/>
      <c r="H74" s="1115"/>
      <c r="I74" s="1116"/>
    </row>
    <row r="75" spans="1:23" ht="19.95" customHeight="1" thickBot="1">
      <c r="A75" s="1169" t="s">
        <v>280</v>
      </c>
      <c r="B75" s="1170"/>
      <c r="C75" s="1170"/>
      <c r="D75" s="1170"/>
      <c r="E75" s="1170"/>
      <c r="F75" s="1170"/>
      <c r="G75" s="1170"/>
      <c r="H75" s="1170"/>
      <c r="I75" s="1171"/>
    </row>
    <row r="76" spans="1:23" ht="28.05" customHeight="1">
      <c r="A76" s="1294" t="s">
        <v>393</v>
      </c>
      <c r="B76" s="1295"/>
      <c r="C76" s="1295"/>
      <c r="D76" s="1295"/>
      <c r="E76" s="1295"/>
      <c r="F76" s="1295"/>
      <c r="G76" s="1296"/>
      <c r="H76" s="392" t="s">
        <v>307</v>
      </c>
      <c r="I76" s="314" t="s">
        <v>308</v>
      </c>
    </row>
    <row r="77" spans="1:23" ht="34.049999999999997" customHeight="1" thickBot="1">
      <c r="A77" s="1297"/>
      <c r="B77" s="1298"/>
      <c r="C77" s="1298"/>
      <c r="D77" s="1298"/>
      <c r="E77" s="1298"/>
      <c r="F77" s="1298"/>
      <c r="G77" s="1299"/>
      <c r="H77" s="309">
        <f>C9</f>
        <v>40999</v>
      </c>
      <c r="I77" s="309" t="str">
        <f>'Løntabel gældende fra'!$D$1</f>
        <v>01-08-2026</v>
      </c>
    </row>
    <row r="78" spans="1:23" ht="15" customHeight="1" thickBot="1">
      <c r="A78" s="1254" t="s">
        <v>14</v>
      </c>
      <c r="B78" s="1255"/>
      <c r="C78" s="1255"/>
      <c r="D78" s="1255"/>
      <c r="E78" s="1255"/>
      <c r="F78" s="1255"/>
      <c r="G78" s="1255"/>
      <c r="H78" s="160">
        <v>19</v>
      </c>
      <c r="I78" s="161">
        <f>ROUND(H78+H78*'Løntabel gældende fra'!$D$7%,2)</f>
        <v>24.19</v>
      </c>
    </row>
    <row r="79" spans="1:23" ht="24" customHeight="1" thickBot="1">
      <c r="A79" s="7"/>
      <c r="B79" s="7"/>
      <c r="C79" s="7"/>
      <c r="D79" s="7"/>
      <c r="E79" s="7"/>
      <c r="F79" s="7"/>
      <c r="G79" s="7"/>
      <c r="H79" s="7"/>
      <c r="I79" s="7"/>
    </row>
    <row r="80" spans="1:23" ht="19.95" customHeight="1">
      <c r="A80" s="1114" t="s">
        <v>460</v>
      </c>
      <c r="B80" s="1115"/>
      <c r="C80" s="1115"/>
      <c r="D80" s="1115"/>
      <c r="E80" s="1115"/>
      <c r="F80" s="1115"/>
      <c r="G80" s="1115"/>
      <c r="H80" s="1115"/>
      <c r="I80" s="1116"/>
    </row>
    <row r="81" spans="1:26" ht="19.95" customHeight="1" thickBot="1">
      <c r="A81" s="1169" t="s">
        <v>458</v>
      </c>
      <c r="B81" s="1170"/>
      <c r="C81" s="1170"/>
      <c r="D81" s="1170"/>
      <c r="E81" s="1170"/>
      <c r="F81" s="1170"/>
      <c r="G81" s="1170"/>
      <c r="H81" s="1170"/>
      <c r="I81" s="1171"/>
    </row>
    <row r="82" spans="1:26" ht="31.05" customHeight="1">
      <c r="A82" s="1206" t="s">
        <v>461</v>
      </c>
      <c r="B82" s="1207"/>
      <c r="C82" s="1207"/>
      <c r="D82" s="1207"/>
      <c r="E82" s="1207"/>
      <c r="F82" s="1207"/>
      <c r="G82" s="1208"/>
      <c r="H82" s="308" t="s">
        <v>307</v>
      </c>
      <c r="I82" s="566" t="s">
        <v>308</v>
      </c>
    </row>
    <row r="83" spans="1:26" ht="15" customHeight="1" thickBot="1">
      <c r="A83" s="1209"/>
      <c r="B83" s="1210"/>
      <c r="C83" s="1210"/>
      <c r="D83" s="1210"/>
      <c r="E83" s="1210"/>
      <c r="F83" s="1210"/>
      <c r="G83" s="1211"/>
      <c r="H83" s="309">
        <f>H77</f>
        <v>40999</v>
      </c>
      <c r="I83" s="309" t="str">
        <f>'Løntabel gældende fra'!$D$1</f>
        <v>01-08-2026</v>
      </c>
    </row>
    <row r="84" spans="1:26" ht="15" customHeight="1" thickBot="1">
      <c r="A84" s="1212" t="s">
        <v>459</v>
      </c>
      <c r="B84" s="1213"/>
      <c r="C84" s="1213"/>
      <c r="D84" s="1213"/>
      <c r="E84" s="1213"/>
      <c r="F84" s="1213"/>
      <c r="G84" s="1214"/>
      <c r="H84" s="156">
        <v>267.31</v>
      </c>
      <c r="I84" s="157">
        <f>ROUND(H84+(H84*'Løntabel gældende fra'!$D$7%),2)</f>
        <v>340.34</v>
      </c>
    </row>
    <row r="85" spans="1:26" ht="15" customHeight="1" thickBot="1">
      <c r="A85" s="1203"/>
      <c r="B85" s="1204"/>
      <c r="C85" s="1204"/>
      <c r="D85" s="1204"/>
      <c r="E85" s="1204"/>
      <c r="F85" s="1204"/>
      <c r="G85" s="1204"/>
      <c r="H85" s="1204"/>
      <c r="I85" s="1205"/>
    </row>
    <row r="86" spans="1:26" ht="28.05" customHeight="1">
      <c r="A86" s="1114" t="s">
        <v>282</v>
      </c>
      <c r="B86" s="1115"/>
      <c r="C86" s="1115"/>
      <c r="D86" s="1115"/>
      <c r="E86" s="1115"/>
      <c r="F86" s="1115"/>
      <c r="G86" s="1115"/>
      <c r="H86" s="1115"/>
      <c r="I86" s="1116"/>
    </row>
    <row r="87" spans="1:26" ht="25.05" customHeight="1" thickBot="1">
      <c r="A87" s="1169" t="s">
        <v>280</v>
      </c>
      <c r="B87" s="1170"/>
      <c r="C87" s="1170"/>
      <c r="D87" s="1170"/>
      <c r="E87" s="1170"/>
      <c r="F87" s="1170"/>
      <c r="G87" s="1170"/>
      <c r="H87" s="1170"/>
      <c r="I87" s="1171"/>
      <c r="K87" s="16"/>
      <c r="L87" s="16"/>
      <c r="M87" s="16"/>
      <c r="N87" s="16"/>
      <c r="O87" s="16"/>
      <c r="P87" s="16"/>
      <c r="Q87" s="16"/>
      <c r="R87" s="16"/>
      <c r="S87" s="16"/>
      <c r="T87" s="16"/>
      <c r="U87" s="16"/>
      <c r="V87" s="16"/>
      <c r="W87" s="16"/>
    </row>
    <row r="88" spans="1:26" ht="27.75" customHeight="1">
      <c r="A88" s="1284"/>
      <c r="B88" s="1285"/>
      <c r="C88" s="1285"/>
      <c r="D88" s="1285"/>
      <c r="E88" s="1285"/>
      <c r="F88" s="1285"/>
      <c r="G88" s="1286"/>
      <c r="H88" s="310" t="s">
        <v>95</v>
      </c>
      <c r="I88" s="311" t="s">
        <v>100</v>
      </c>
      <c r="K88" s="16"/>
      <c r="L88" s="16"/>
      <c r="M88" s="16"/>
      <c r="N88" s="16"/>
      <c r="O88" s="16"/>
      <c r="P88" s="16"/>
      <c r="Q88" s="16"/>
      <c r="R88" s="16"/>
      <c r="S88" s="16"/>
      <c r="T88" s="16"/>
      <c r="U88" s="16"/>
      <c r="V88" s="16"/>
      <c r="W88" s="16"/>
    </row>
    <row r="89" spans="1:26" ht="16.5" customHeight="1" thickBot="1">
      <c r="A89" s="1287"/>
      <c r="B89" s="1288"/>
      <c r="C89" s="1288"/>
      <c r="D89" s="1288"/>
      <c r="E89" s="1288"/>
      <c r="F89" s="1288"/>
      <c r="G89" s="1289"/>
      <c r="H89" s="312">
        <f>C9</f>
        <v>40999</v>
      </c>
      <c r="I89" s="309" t="str">
        <f>'Løntabel gældende fra'!$D$1</f>
        <v>01-08-2026</v>
      </c>
      <c r="K89" s="16"/>
      <c r="L89" s="16"/>
      <c r="M89" s="16"/>
      <c r="N89" s="16"/>
      <c r="O89" s="16"/>
      <c r="P89" s="16"/>
      <c r="Q89" s="16"/>
      <c r="R89" s="16"/>
      <c r="S89" s="16"/>
      <c r="T89" s="16"/>
      <c r="U89" s="16"/>
      <c r="V89" s="16"/>
      <c r="W89" s="16"/>
    </row>
    <row r="90" spans="1:26" customFormat="1" ht="24" customHeight="1">
      <c r="A90" s="1290" t="s">
        <v>18</v>
      </c>
      <c r="B90" s="1291"/>
      <c r="C90" s="1291"/>
      <c r="D90" s="1291"/>
      <c r="E90" s="1291"/>
      <c r="F90" s="1291"/>
      <c r="G90" s="1292"/>
      <c r="H90" s="193">
        <v>6.59</v>
      </c>
      <c r="I90" s="193">
        <f>ROUND(H90+H90*'Løntabel gældende fra'!$D$7%,2)</f>
        <v>8.39</v>
      </c>
    </row>
    <row r="91" spans="1:26" customFormat="1" ht="24" customHeight="1">
      <c r="A91" s="1200" t="s">
        <v>17</v>
      </c>
      <c r="B91" s="1201"/>
      <c r="C91" s="1201"/>
      <c r="D91" s="1201"/>
      <c r="E91" s="1201"/>
      <c r="F91" s="1201"/>
      <c r="G91" s="1202"/>
      <c r="H91" s="899">
        <v>61.22</v>
      </c>
      <c r="I91" s="899">
        <f>ROUND(H91+H91*'Løntabel gældende fra'!$D$7%,2)</f>
        <v>77.95</v>
      </c>
    </row>
    <row r="92" spans="1:26" customFormat="1" ht="24" customHeight="1">
      <c r="A92" s="1200" t="s">
        <v>473</v>
      </c>
      <c r="B92" s="1201"/>
      <c r="C92" s="1201"/>
      <c r="D92" s="1201"/>
      <c r="E92" s="1201"/>
      <c r="F92" s="1201"/>
      <c r="G92" s="1202"/>
      <c r="H92" s="899">
        <v>163.63999999999999</v>
      </c>
      <c r="I92" s="899">
        <f>ROUND(H92+H92*'Løntabel gældende fra'!$D$7%,2)</f>
        <v>208.35</v>
      </c>
    </row>
    <row r="93" spans="1:26" customFormat="1" ht="34.799999999999997" customHeight="1" thickBot="1">
      <c r="A93" s="1197" t="s">
        <v>474</v>
      </c>
      <c r="B93" s="1198"/>
      <c r="C93" s="1198"/>
      <c r="D93" s="1198"/>
      <c r="E93" s="1198"/>
      <c r="F93" s="1198"/>
      <c r="G93" s="1199"/>
      <c r="H93" s="194">
        <v>372.2</v>
      </c>
      <c r="I93" s="194">
        <f>ROUND(H93+H93*'Løntabel gældende fra'!$D$7%,2)</f>
        <v>473.89</v>
      </c>
    </row>
    <row r="94" spans="1:26" s="503" customFormat="1" ht="46.95" customHeight="1" thickBot="1">
      <c r="A94" s="1111" t="s">
        <v>462</v>
      </c>
      <c r="B94" s="1112"/>
      <c r="C94" s="1112"/>
      <c r="D94" s="1112"/>
      <c r="E94" s="1112"/>
      <c r="F94" s="1112"/>
      <c r="G94" s="1112"/>
      <c r="H94" s="1112"/>
      <c r="I94" s="1113"/>
      <c r="J94" s="504"/>
      <c r="K94" s="504"/>
      <c r="L94" s="504"/>
      <c r="M94" s="504"/>
      <c r="N94" s="504"/>
      <c r="O94" s="504"/>
      <c r="P94" s="504"/>
      <c r="Q94" s="504"/>
      <c r="R94" s="504"/>
      <c r="S94" s="504"/>
      <c r="T94" s="504"/>
      <c r="U94" s="504"/>
      <c r="V94" s="504"/>
      <c r="W94" s="504"/>
      <c r="X94" s="504"/>
      <c r="Y94" s="504"/>
      <c r="Z94" s="504"/>
    </row>
    <row r="95" spans="1:26" customFormat="1" ht="34.049999999999997" customHeight="1" thickBot="1">
      <c r="A95" s="1111" t="s">
        <v>463</v>
      </c>
      <c r="B95" s="1112"/>
      <c r="C95" s="1112"/>
      <c r="D95" s="1112"/>
      <c r="E95" s="1112"/>
      <c r="F95" s="1112"/>
      <c r="G95" s="1112"/>
      <c r="H95" s="1112"/>
      <c r="I95" s="1113"/>
    </row>
    <row r="96" spans="1:26" customFormat="1" ht="15" customHeight="1" thickBot="1">
      <c r="A96" s="67"/>
      <c r="B96" s="67"/>
      <c r="C96" s="67"/>
      <c r="D96" s="67"/>
      <c r="E96" s="67"/>
      <c r="F96" s="67"/>
      <c r="G96" s="67"/>
      <c r="H96" s="67"/>
      <c r="I96" s="67"/>
    </row>
    <row r="97" spans="1:26" customFormat="1" ht="24" customHeight="1" thickBot="1">
      <c r="A97" s="1123" t="s">
        <v>66</v>
      </c>
      <c r="B97" s="1124"/>
      <c r="C97" s="1124"/>
      <c r="D97" s="1124"/>
      <c r="E97" s="1124"/>
      <c r="F97" s="1124"/>
      <c r="G97" s="1193"/>
      <c r="H97" s="58"/>
    </row>
    <row r="98" spans="1:26" s="503" customFormat="1" ht="24" customHeight="1" thickBot="1">
      <c r="A98" s="1217" t="s">
        <v>67</v>
      </c>
      <c r="B98" s="1218"/>
      <c r="C98" s="1219"/>
      <c r="D98" s="1279">
        <v>40999</v>
      </c>
      <c r="E98" s="1191"/>
      <c r="F98" s="1191" t="str">
        <f>'Løntabel gældende fra'!$D$1</f>
        <v>01-08-2026</v>
      </c>
      <c r="G98" s="1192"/>
      <c r="H98" s="60"/>
      <c r="I98"/>
      <c r="J98" s="504"/>
      <c r="K98" s="504"/>
      <c r="L98" s="504"/>
      <c r="M98" s="504"/>
      <c r="N98" s="504"/>
      <c r="O98" s="504"/>
      <c r="P98" s="504"/>
      <c r="Q98" s="504"/>
      <c r="R98" s="504"/>
      <c r="S98" s="504"/>
      <c r="T98" s="504"/>
      <c r="U98" s="504"/>
      <c r="V98" s="504"/>
      <c r="W98" s="504"/>
      <c r="X98" s="504"/>
      <c r="Y98" s="504"/>
      <c r="Z98" s="504"/>
    </row>
    <row r="99" spans="1:26" customFormat="1" ht="15" customHeight="1" thickBot="1">
      <c r="A99" s="1220"/>
      <c r="B99" s="1221"/>
      <c r="C99" s="1222"/>
      <c r="D99" s="1149" t="s">
        <v>283</v>
      </c>
      <c r="E99" s="1150"/>
      <c r="F99" s="1149" t="s">
        <v>283</v>
      </c>
      <c r="G99" s="1150"/>
      <c r="H99" s="504"/>
      <c r="I99" s="504"/>
    </row>
    <row r="100" spans="1:26" customFormat="1" ht="15" customHeight="1">
      <c r="A100" s="162" t="s">
        <v>68</v>
      </c>
      <c r="B100" s="163"/>
      <c r="C100" s="164"/>
      <c r="D100" s="165">
        <v>236</v>
      </c>
      <c r="E100" s="165">
        <v>334</v>
      </c>
      <c r="F100" s="505">
        <f>ROUND(D100+D100*'Løntabel gældende fra'!$D$7%,2)</f>
        <v>300.48</v>
      </c>
      <c r="G100" s="506">
        <f>ROUND(E100+E100*'Løntabel gældende fra'!$D$7%,2)</f>
        <v>425.25</v>
      </c>
      <c r="H100" s="53"/>
    </row>
    <row r="101" spans="1:26" ht="17.399999999999999" customHeight="1" thickBot="1">
      <c r="A101" s="117" t="s">
        <v>70</v>
      </c>
      <c r="B101" s="118"/>
      <c r="C101" s="166"/>
      <c r="D101" s="167">
        <v>170</v>
      </c>
      <c r="E101" s="167">
        <v>269</v>
      </c>
      <c r="F101" s="168">
        <f>ROUND(D101+D101*'Løntabel gældende fra'!$D$7%,2)</f>
        <v>216.44</v>
      </c>
      <c r="G101" s="169">
        <f>ROUND(E101+E101*'Løntabel gældende fra'!$D$7%,2)</f>
        <v>342.49</v>
      </c>
      <c r="H101" s="53"/>
      <c r="I101"/>
    </row>
    <row r="102" spans="1:26" customFormat="1" ht="24" customHeight="1" thickBot="1">
      <c r="A102" s="1157" t="s">
        <v>69</v>
      </c>
      <c r="B102" s="1158"/>
      <c r="C102" s="1194"/>
      <c r="D102" s="1215">
        <f>D98</f>
        <v>40999</v>
      </c>
      <c r="E102" s="1216"/>
      <c r="F102" s="1196" t="str">
        <f>'Løntabel gældende fra'!$D$1</f>
        <v>01-08-2026</v>
      </c>
      <c r="G102" s="1192"/>
      <c r="H102" s="60"/>
    </row>
    <row r="103" spans="1:26" customFormat="1" ht="15" thickBot="1">
      <c r="A103" s="1159"/>
      <c r="B103" s="1160"/>
      <c r="C103" s="1195"/>
      <c r="D103" s="1149" t="s">
        <v>283</v>
      </c>
      <c r="E103" s="1150"/>
      <c r="F103" s="1149" t="s">
        <v>283</v>
      </c>
      <c r="G103" s="1150"/>
      <c r="H103" s="504"/>
      <c r="I103" s="504"/>
    </row>
    <row r="104" spans="1:26" customFormat="1" ht="14.4">
      <c r="A104" s="162" t="s">
        <v>68</v>
      </c>
      <c r="B104" s="163"/>
      <c r="C104" s="164"/>
      <c r="D104" s="165">
        <v>203</v>
      </c>
      <c r="E104" s="165">
        <v>334</v>
      </c>
      <c r="F104" s="170">
        <f>ROUND(D104+D104*'Løntabel gældende fra'!$D$7%,2)</f>
        <v>258.45999999999998</v>
      </c>
      <c r="G104" s="171">
        <f>ROUND(E104+E104*'Løntabel gældende fra'!$D$7%,2)</f>
        <v>425.25</v>
      </c>
      <c r="H104" s="53"/>
    </row>
    <row r="105" spans="1:26" customFormat="1" ht="17.399999999999999" customHeight="1" thickBot="1">
      <c r="A105" s="974" t="s">
        <v>70</v>
      </c>
      <c r="B105" s="497"/>
      <c r="C105" s="498"/>
      <c r="D105" s="988">
        <v>138</v>
      </c>
      <c r="E105" s="988">
        <v>269</v>
      </c>
      <c r="F105" s="172">
        <f>ROUND(D105+D105*'Løntabel gældende fra'!$D$7%,2)</f>
        <v>175.7</v>
      </c>
      <c r="G105" s="173">
        <f>ROUND(E105+E105*'Løntabel gældende fra'!$D$7%,2)</f>
        <v>342.49</v>
      </c>
      <c r="H105" s="53"/>
    </row>
    <row r="106" spans="1:26" customFormat="1" ht="15" thickBot="1">
      <c r="A106" s="7"/>
      <c r="B106" s="7"/>
      <c r="C106" s="7"/>
      <c r="D106" s="7"/>
      <c r="E106" s="7"/>
      <c r="F106" s="7"/>
      <c r="G106" s="7"/>
      <c r="H106" s="7"/>
      <c r="I106" s="7"/>
    </row>
    <row r="107" spans="1:26" customFormat="1" ht="17.399999999999999">
      <c r="A107" s="1114" t="s">
        <v>546</v>
      </c>
      <c r="B107" s="1115"/>
      <c r="C107" s="1115"/>
      <c r="D107" s="1115"/>
      <c r="E107" s="1115"/>
      <c r="F107" s="1115"/>
      <c r="G107" s="1115"/>
      <c r="H107" s="1115"/>
      <c r="I107" s="1116"/>
    </row>
    <row r="108" spans="1:26" customFormat="1" ht="15">
      <c r="A108" s="1072" t="s">
        <v>542</v>
      </c>
      <c r="B108" s="1073"/>
      <c r="C108" s="1073"/>
      <c r="D108" s="1073"/>
      <c r="E108" s="1073"/>
      <c r="F108" s="1073"/>
      <c r="G108" s="1073"/>
      <c r="H108" s="1073"/>
      <c r="I108" s="1074"/>
    </row>
    <row r="109" spans="1:26" customFormat="1" ht="15.6" thickBot="1">
      <c r="A109" s="1169" t="s">
        <v>288</v>
      </c>
      <c r="B109" s="1170"/>
      <c r="C109" s="1170"/>
      <c r="D109" s="1170"/>
      <c r="E109" s="1170"/>
      <c r="F109" s="1170"/>
      <c r="G109" s="1170"/>
      <c r="H109" s="1170"/>
      <c r="I109" s="1171"/>
    </row>
    <row r="110" spans="1:26" ht="28.95" customHeight="1" thickBot="1">
      <c r="A110" s="1075" t="s">
        <v>539</v>
      </c>
      <c r="B110" s="1076"/>
      <c r="C110" s="1076"/>
      <c r="D110" s="1076"/>
      <c r="E110" s="1077"/>
      <c r="F110" s="1078">
        <v>40999</v>
      </c>
      <c r="G110" s="1079"/>
      <c r="H110" s="1080" t="str">
        <f>'Løntabel gældende fra'!$D$1</f>
        <v>01-08-2026</v>
      </c>
      <c r="I110" s="1081"/>
      <c r="J110"/>
      <c r="K110"/>
      <c r="L110"/>
      <c r="M110"/>
    </row>
    <row r="111" spans="1:26" ht="28.95" customHeight="1">
      <c r="A111" s="1096" t="s">
        <v>544</v>
      </c>
      <c r="B111" s="1083"/>
      <c r="C111" s="1083"/>
      <c r="D111" s="1083"/>
      <c r="E111" s="1084"/>
      <c r="F111" s="1085">
        <v>4600</v>
      </c>
      <c r="G111" s="1086"/>
      <c r="H111" s="1087">
        <f>ROUND(F111+F111*'Løntabel gældende fra'!$D$7%,2)</f>
        <v>5856.74</v>
      </c>
      <c r="I111" s="1088"/>
      <c r="J111"/>
      <c r="K111"/>
      <c r="L111"/>
      <c r="M111"/>
    </row>
    <row r="112" spans="1:26" ht="20.25" customHeight="1" thickBot="1">
      <c r="A112" s="1089" t="s">
        <v>543</v>
      </c>
      <c r="B112" s="1090"/>
      <c r="C112" s="1090"/>
      <c r="D112" s="1090"/>
      <c r="E112" s="1091"/>
      <c r="F112" s="1092">
        <v>500</v>
      </c>
      <c r="G112" s="1093"/>
      <c r="H112" s="1094">
        <f>ROUND(F112+F112*'Løntabel gældende fra'!$D$7%,2)</f>
        <v>636.6</v>
      </c>
      <c r="I112" s="1095"/>
      <c r="J112"/>
      <c r="K112"/>
      <c r="L112"/>
      <c r="M112"/>
    </row>
    <row r="113" spans="1:21" ht="16.95" customHeight="1" thickBot="1">
      <c r="A113" s="1172" t="s">
        <v>536</v>
      </c>
      <c r="B113" s="1173"/>
      <c r="C113" s="1173"/>
      <c r="D113" s="1173"/>
      <c r="E113" s="1174"/>
      <c r="F113" s="1277">
        <v>700</v>
      </c>
      <c r="G113" s="1278"/>
      <c r="H113" s="1161">
        <f>ROUND(F113+F113*'Løntabel gældende fra'!$D$7%,2)</f>
        <v>891.24</v>
      </c>
      <c r="I113" s="1162"/>
      <c r="J113"/>
      <c r="K113"/>
      <c r="L113"/>
      <c r="M113"/>
    </row>
    <row r="114" spans="1:21" ht="25.95" customHeight="1" thickBot="1">
      <c r="A114" s="1075" t="s">
        <v>540</v>
      </c>
      <c r="B114" s="1076"/>
      <c r="C114" s="1076"/>
      <c r="D114" s="1076"/>
      <c r="E114" s="1077"/>
      <c r="F114" s="1078">
        <v>40999</v>
      </c>
      <c r="G114" s="1079"/>
      <c r="H114" s="1080" t="str">
        <f>'Løntabel gældende fra'!$D$1</f>
        <v>01-08-2026</v>
      </c>
      <c r="I114" s="1081"/>
      <c r="J114"/>
      <c r="K114"/>
      <c r="L114"/>
      <c r="M114"/>
    </row>
    <row r="115" spans="1:21" ht="12" customHeight="1">
      <c r="A115" s="1082" t="s">
        <v>534</v>
      </c>
      <c r="B115" s="1083"/>
      <c r="C115" s="1083"/>
      <c r="D115" s="1083"/>
      <c r="E115" s="1084"/>
      <c r="F115" s="1085">
        <v>5600</v>
      </c>
      <c r="G115" s="1086"/>
      <c r="H115" s="1087">
        <f>ROUND(F115+F115*'Løntabel gældende fra'!$D$7%,2)</f>
        <v>7129.94</v>
      </c>
      <c r="I115" s="1088"/>
      <c r="J115"/>
      <c r="K115"/>
      <c r="L115"/>
      <c r="M115"/>
    </row>
    <row r="116" spans="1:21" ht="20.25" customHeight="1" thickBot="1">
      <c r="A116" s="1089" t="s">
        <v>535</v>
      </c>
      <c r="B116" s="1090"/>
      <c r="C116" s="1090"/>
      <c r="D116" s="1090"/>
      <c r="E116" s="1091"/>
      <c r="F116" s="1092">
        <v>900</v>
      </c>
      <c r="G116" s="1093"/>
      <c r="H116" s="1094">
        <f>ROUND(F116+F116*'Løntabel gældende fra'!$D$7%,2)</f>
        <v>1145.8800000000001</v>
      </c>
      <c r="I116" s="1095"/>
      <c r="J116"/>
      <c r="K116"/>
      <c r="L116"/>
      <c r="M116"/>
    </row>
    <row r="117" spans="1:21" ht="15" customHeight="1" thickBot="1">
      <c r="A117" s="1075" t="s">
        <v>541</v>
      </c>
      <c r="B117" s="1076"/>
      <c r="C117" s="1076"/>
      <c r="D117" s="1076"/>
      <c r="E117" s="1077"/>
      <c r="F117" s="1078">
        <v>40999</v>
      </c>
      <c r="G117" s="1079"/>
      <c r="H117" s="1080" t="str">
        <f>'Løntabel gældende fra'!$D$1</f>
        <v>01-08-2026</v>
      </c>
      <c r="I117" s="1081"/>
      <c r="J117"/>
      <c r="K117"/>
      <c r="L117"/>
      <c r="M117"/>
    </row>
    <row r="118" spans="1:21" ht="12" customHeight="1" thickBot="1">
      <c r="A118" s="1125" t="s">
        <v>538</v>
      </c>
      <c r="B118" s="1126"/>
      <c r="C118" s="1126"/>
      <c r="D118" s="1126"/>
      <c r="E118" s="1127"/>
      <c r="F118" s="1128">
        <v>150</v>
      </c>
      <c r="G118" s="1129"/>
      <c r="H118" s="1130">
        <f>ROUND(F118+F118*'Løntabel gældende fra'!$D$7%,2)</f>
        <v>190.98</v>
      </c>
      <c r="I118" s="1131"/>
      <c r="J118"/>
      <c r="K118"/>
      <c r="L118"/>
      <c r="M118"/>
    </row>
    <row r="119" spans="1:21" ht="18" customHeight="1" thickBot="1">
      <c r="A119" s="1132" t="s">
        <v>537</v>
      </c>
      <c r="B119" s="1133"/>
      <c r="C119" s="1133"/>
      <c r="D119" s="1133"/>
      <c r="E119" s="1133"/>
      <c r="F119" s="1133"/>
      <c r="G119" s="1133"/>
      <c r="H119" s="1133"/>
      <c r="I119" s="1134"/>
      <c r="J119"/>
      <c r="K119"/>
      <c r="L119"/>
      <c r="M119"/>
    </row>
    <row r="120" spans="1:21" ht="16.05" customHeight="1" thickBot="1">
      <c r="A120" s="92"/>
      <c r="B120" s="7"/>
      <c r="C120" s="7"/>
      <c r="D120" s="7"/>
      <c r="E120" s="7"/>
      <c r="F120" s="53"/>
      <c r="G120" s="53"/>
      <c r="H120" s="7"/>
      <c r="I120" s="7"/>
      <c r="J120" s="3"/>
      <c r="K120" s="3"/>
      <c r="L120" s="3"/>
      <c r="M120" s="3"/>
      <c r="N120" s="3"/>
      <c r="O120" s="4"/>
      <c r="P120" s="4"/>
      <c r="Q120" s="4"/>
      <c r="R120" s="4"/>
      <c r="S120" s="4"/>
      <c r="T120" s="4"/>
      <c r="U120" s="4"/>
    </row>
    <row r="121" spans="1:21" ht="21">
      <c r="A121" s="1166" t="s">
        <v>87</v>
      </c>
      <c r="B121" s="1167"/>
      <c r="C121" s="1167"/>
      <c r="D121" s="1167"/>
      <c r="E121" s="1167"/>
      <c r="F121" s="1167"/>
      <c r="G121" s="1167"/>
      <c r="H121" s="1167"/>
      <c r="I121" s="1168"/>
    </row>
    <row r="122" spans="1:21" ht="21.6" thickBot="1">
      <c r="A122" s="1183" t="str">
        <f>'Løntabel gældende fra'!$D$1</f>
        <v>01-08-2026</v>
      </c>
      <c r="B122" s="1184"/>
      <c r="C122" s="1184"/>
      <c r="D122" s="1184"/>
      <c r="E122" s="1184"/>
      <c r="F122" s="1184"/>
      <c r="G122" s="1184"/>
      <c r="H122" s="1184"/>
      <c r="I122" s="1185"/>
    </row>
    <row r="123" spans="1:21" ht="18" thickBot="1">
      <c r="A123" s="1123" t="s">
        <v>85</v>
      </c>
      <c r="B123" s="1124"/>
      <c r="C123" s="1124"/>
      <c r="D123" s="1124"/>
      <c r="E123" s="1124"/>
      <c r="F123" s="1115"/>
      <c r="G123" s="1115"/>
      <c r="H123" s="1115"/>
      <c r="I123" s="1116"/>
    </row>
    <row r="124" spans="1:21" ht="15" customHeight="1">
      <c r="A124" s="1110" t="s">
        <v>0</v>
      </c>
      <c r="B124" s="1157" t="s">
        <v>20</v>
      </c>
      <c r="C124" s="1158"/>
      <c r="D124" s="1158"/>
      <c r="E124" s="1158"/>
      <c r="F124" s="1121" t="s">
        <v>372</v>
      </c>
      <c r="G124" s="1122"/>
      <c r="H124" s="1155">
        <v>0.17299999999999999</v>
      </c>
      <c r="I124" s="1156"/>
    </row>
    <row r="125" spans="1:21" ht="18" customHeight="1" thickBot="1">
      <c r="A125" s="1110"/>
      <c r="B125" s="1159"/>
      <c r="C125" s="1160"/>
      <c r="D125" s="1160"/>
      <c r="E125" s="1160"/>
      <c r="F125" s="1163" t="s">
        <v>379</v>
      </c>
      <c r="G125" s="1164"/>
      <c r="H125" s="1164"/>
      <c r="I125" s="1165"/>
    </row>
    <row r="126" spans="1:21" ht="18" customHeight="1">
      <c r="A126" s="153">
        <v>1</v>
      </c>
      <c r="B126" s="1186">
        <f>H10</f>
        <v>28879.24</v>
      </c>
      <c r="C126" s="1188"/>
      <c r="D126" s="1188"/>
      <c r="E126" s="1187"/>
      <c r="F126" s="1186">
        <f>ROUND(B126*$H$124,2)</f>
        <v>4996.1099999999997</v>
      </c>
      <c r="G126" s="1188"/>
      <c r="H126" s="1188"/>
      <c r="I126" s="1187"/>
    </row>
    <row r="127" spans="1:21" ht="13.95" customHeight="1">
      <c r="A127" s="88">
        <v>2</v>
      </c>
      <c r="B127" s="1189">
        <f>H11</f>
        <v>30269.9</v>
      </c>
      <c r="C127" s="1097"/>
      <c r="D127" s="1097"/>
      <c r="E127" s="1190"/>
      <c r="F127" s="1189">
        <f>ROUND(B127*$H$124,2)</f>
        <v>5236.6899999999996</v>
      </c>
      <c r="G127" s="1097"/>
      <c r="H127" s="1097"/>
      <c r="I127" s="1190"/>
    </row>
    <row r="128" spans="1:21" ht="15" customHeight="1">
      <c r="A128" s="88">
        <v>3</v>
      </c>
      <c r="B128" s="1189">
        <f>H12</f>
        <v>31396.26</v>
      </c>
      <c r="C128" s="1097"/>
      <c r="D128" s="1097"/>
      <c r="E128" s="1190"/>
      <c r="F128" s="1189">
        <f>ROUND(B128*$H$124,2)</f>
        <v>5431.55</v>
      </c>
      <c r="G128" s="1097"/>
      <c r="H128" s="1097"/>
      <c r="I128" s="1190"/>
    </row>
    <row r="129" spans="1:10" ht="14.4" thickBot="1">
      <c r="A129" s="89">
        <v>4</v>
      </c>
      <c r="B129" s="1300">
        <f>H13</f>
        <v>33384.89</v>
      </c>
      <c r="C129" s="1146"/>
      <c r="D129" s="1146"/>
      <c r="E129" s="1182"/>
      <c r="F129" s="1300">
        <f>ROUND(B129*$H$124,2)</f>
        <v>5775.59</v>
      </c>
      <c r="G129" s="1146"/>
      <c r="H129" s="1146"/>
      <c r="I129" s="1182"/>
      <c r="J129" s="39"/>
    </row>
    <row r="130" spans="1:10" ht="18" thickBot="1">
      <c r="A130" s="1114" t="s">
        <v>86</v>
      </c>
      <c r="B130" s="1115"/>
      <c r="C130" s="1115"/>
      <c r="D130" s="1115"/>
      <c r="E130" s="1115"/>
      <c r="F130" s="1115"/>
      <c r="G130" s="1115"/>
      <c r="H130" s="1115"/>
      <c r="I130" s="1116"/>
    </row>
    <row r="131" spans="1:10">
      <c r="A131" s="1109" t="s">
        <v>0</v>
      </c>
      <c r="B131" s="1117" t="s">
        <v>133</v>
      </c>
      <c r="C131" s="1157" t="s">
        <v>23</v>
      </c>
      <c r="D131" s="1158"/>
      <c r="E131" s="1158"/>
      <c r="F131" s="1157" t="s">
        <v>24</v>
      </c>
      <c r="G131" s="1158"/>
      <c r="H131" s="1119" t="s">
        <v>90</v>
      </c>
      <c r="I131" s="1120"/>
    </row>
    <row r="132" spans="1:10" ht="14.4" thickBot="1">
      <c r="A132" s="1110"/>
      <c r="B132" s="1118"/>
      <c r="C132" s="1107">
        <f>B53</f>
        <v>40999</v>
      </c>
      <c r="D132" s="1108"/>
      <c r="E132" s="1108"/>
      <c r="F132" s="1107" t="str">
        <f>'Løntabel gældende fra'!$D$1</f>
        <v>01-08-2026</v>
      </c>
      <c r="G132" s="1108"/>
      <c r="H132" s="1232"/>
      <c r="I132" s="1234"/>
    </row>
    <row r="133" spans="1:10" ht="14.4" thickBot="1">
      <c r="A133" s="1110"/>
      <c r="B133" s="1118"/>
      <c r="C133" s="1119" t="s">
        <v>83</v>
      </c>
      <c r="D133" s="1120"/>
      <c r="E133" s="566" t="s">
        <v>84</v>
      </c>
      <c r="F133" s="566" t="s">
        <v>83</v>
      </c>
      <c r="G133" s="614" t="s">
        <v>84</v>
      </c>
      <c r="H133" s="1313">
        <v>0.15</v>
      </c>
      <c r="I133" s="1314"/>
    </row>
    <row r="134" spans="1:10">
      <c r="A134" s="132">
        <v>1</v>
      </c>
      <c r="B134" s="345">
        <v>21</v>
      </c>
      <c r="C134" s="1175">
        <f>+'Statens skalatrin'!N66</f>
        <v>241583.32</v>
      </c>
      <c r="D134" s="1176"/>
      <c r="E134" s="158">
        <f t="shared" ref="E134:E147" si="5">ROUND(C134/12,2)</f>
        <v>20131.939999999999</v>
      </c>
      <c r="F134" s="203">
        <f>ROUND(C134*(1+'Løntabel gældende fra'!$D$7/100),0)</f>
        <v>307585</v>
      </c>
      <c r="G134" s="158">
        <f>ROUND(F134/12,2)</f>
        <v>25632.080000000002</v>
      </c>
      <c r="H134" s="1137">
        <f>ROUND(G134*$H$133,2)</f>
        <v>3844.81</v>
      </c>
      <c r="I134" s="1138"/>
    </row>
    <row r="135" spans="1:10">
      <c r="A135" s="615">
        <v>1</v>
      </c>
      <c r="B135" s="616">
        <v>23</v>
      </c>
      <c r="C135" s="1098">
        <f>+'Statens skalatrin'!N72</f>
        <v>250472.55</v>
      </c>
      <c r="D135" s="1099"/>
      <c r="E135" s="175">
        <f t="shared" si="5"/>
        <v>20872.71</v>
      </c>
      <c r="F135" s="204">
        <f>ROUND(C135*(1+'Løntabel gældende fra'!$D$7/100),0)</f>
        <v>318903</v>
      </c>
      <c r="G135" s="175">
        <f t="shared" ref="G135:G145" si="6">ROUND(F135/12,2)</f>
        <v>26575.25</v>
      </c>
      <c r="H135" s="1137">
        <f t="shared" ref="H135:H147" si="7">ROUND(G135*$H$133,2)</f>
        <v>3986.29</v>
      </c>
      <c r="I135" s="1138"/>
    </row>
    <row r="136" spans="1:10">
      <c r="A136" s="615">
        <v>2</v>
      </c>
      <c r="B136" s="616">
        <v>25</v>
      </c>
      <c r="C136" s="1098">
        <f>+'Statens skalatrin'!N78</f>
        <v>259721.7</v>
      </c>
      <c r="D136" s="1099"/>
      <c r="E136" s="175">
        <f t="shared" si="5"/>
        <v>21643.48</v>
      </c>
      <c r="F136" s="204">
        <f>ROUND(C136*(1+'Løntabel gældende fra'!$D$7/100),0)</f>
        <v>330679</v>
      </c>
      <c r="G136" s="175">
        <f t="shared" si="6"/>
        <v>27556.58</v>
      </c>
      <c r="H136" s="1137">
        <f t="shared" si="7"/>
        <v>4133.49</v>
      </c>
      <c r="I136" s="1138"/>
    </row>
    <row r="137" spans="1:10">
      <c r="A137" s="615">
        <v>2</v>
      </c>
      <c r="B137" s="616">
        <v>27</v>
      </c>
      <c r="C137" s="1098">
        <f>+'Statens skalatrin'!N84</f>
        <v>269459.90000000002</v>
      </c>
      <c r="D137" s="1099"/>
      <c r="E137" s="175">
        <f t="shared" si="5"/>
        <v>22454.99</v>
      </c>
      <c r="F137" s="204">
        <f>ROUND(C137*(1+'Løntabel gældende fra'!$D$7/100),0)</f>
        <v>343077</v>
      </c>
      <c r="G137" s="175">
        <f t="shared" si="6"/>
        <v>28589.75</v>
      </c>
      <c r="H137" s="1137">
        <f t="shared" si="7"/>
        <v>4288.46</v>
      </c>
      <c r="I137" s="1138"/>
    </row>
    <row r="138" spans="1:10">
      <c r="A138" s="615">
        <v>3</v>
      </c>
      <c r="B138" s="616">
        <v>28</v>
      </c>
      <c r="C138" s="1098">
        <f>+'Statens skalatrin'!N87</f>
        <v>274522.23</v>
      </c>
      <c r="D138" s="1099"/>
      <c r="E138" s="175">
        <f t="shared" si="5"/>
        <v>22876.85</v>
      </c>
      <c r="F138" s="204">
        <f>ROUND(C138*(1+'Løntabel gældende fra'!$D$7/100),0)</f>
        <v>349523</v>
      </c>
      <c r="G138" s="175">
        <f t="shared" si="6"/>
        <v>29126.92</v>
      </c>
      <c r="H138" s="1137">
        <f t="shared" si="7"/>
        <v>4369.04</v>
      </c>
      <c r="I138" s="1138"/>
    </row>
    <row r="139" spans="1:10">
      <c r="A139" s="615">
        <v>3</v>
      </c>
      <c r="B139" s="616">
        <v>29</v>
      </c>
      <c r="C139" s="1098">
        <f>+'Statens skalatrin'!N90</f>
        <v>279714.99</v>
      </c>
      <c r="D139" s="1099"/>
      <c r="E139" s="175">
        <f t="shared" si="5"/>
        <v>23309.58</v>
      </c>
      <c r="F139" s="204">
        <f>ROUND(C139*(1+'Løntabel gældende fra'!$D$7/100),0)</f>
        <v>356134</v>
      </c>
      <c r="G139" s="175">
        <f t="shared" si="6"/>
        <v>29677.83</v>
      </c>
      <c r="H139" s="1137">
        <f t="shared" si="7"/>
        <v>4451.67</v>
      </c>
      <c r="I139" s="1138"/>
    </row>
    <row r="140" spans="1:10">
      <c r="A140" s="615">
        <v>3</v>
      </c>
      <c r="B140" s="616">
        <v>30</v>
      </c>
      <c r="C140" s="1098">
        <f>+'Statens skalatrin'!N93</f>
        <v>285044.74</v>
      </c>
      <c r="D140" s="1099"/>
      <c r="E140" s="175">
        <f t="shared" si="5"/>
        <v>23753.73</v>
      </c>
      <c r="F140" s="204">
        <f>ROUND(C140*(1+'Løntabel gældende fra'!$D$7/100),0)</f>
        <v>362920</v>
      </c>
      <c r="G140" s="175">
        <f t="shared" si="6"/>
        <v>30243.33</v>
      </c>
      <c r="H140" s="1137">
        <f t="shared" si="7"/>
        <v>4536.5</v>
      </c>
      <c r="I140" s="1138"/>
    </row>
    <row r="141" spans="1:10">
      <c r="A141" s="615">
        <v>3</v>
      </c>
      <c r="B141" s="616">
        <v>31</v>
      </c>
      <c r="C141" s="1098">
        <f>+'Statens skalatrin'!N96</f>
        <v>290512.64000000001</v>
      </c>
      <c r="D141" s="1099"/>
      <c r="E141" s="175">
        <f t="shared" si="5"/>
        <v>24209.39</v>
      </c>
      <c r="F141" s="204">
        <f>ROUND(C141*(1+'Løntabel gældende fra'!$D$7/100),0)</f>
        <v>369882</v>
      </c>
      <c r="G141" s="175">
        <f t="shared" si="6"/>
        <v>30823.5</v>
      </c>
      <c r="H141" s="1137">
        <f t="shared" si="7"/>
        <v>4623.53</v>
      </c>
      <c r="I141" s="1138"/>
    </row>
    <row r="142" spans="1:10" ht="15" customHeight="1">
      <c r="A142" s="615">
        <v>28</v>
      </c>
      <c r="B142" s="616">
        <v>28</v>
      </c>
      <c r="C142" s="1098">
        <f>+C138</f>
        <v>274522.23</v>
      </c>
      <c r="D142" s="1099"/>
      <c r="E142" s="175">
        <f t="shared" si="5"/>
        <v>22876.85</v>
      </c>
      <c r="F142" s="204">
        <f>ROUND(C142*(1+'Løntabel gældende fra'!$D$7/100),0)</f>
        <v>349523</v>
      </c>
      <c r="G142" s="175">
        <f t="shared" si="6"/>
        <v>29126.92</v>
      </c>
      <c r="H142" s="1137">
        <f t="shared" si="7"/>
        <v>4369.04</v>
      </c>
      <c r="I142" s="1138"/>
    </row>
    <row r="143" spans="1:10" ht="15" customHeight="1">
      <c r="A143" s="615">
        <v>29</v>
      </c>
      <c r="B143" s="616">
        <v>29</v>
      </c>
      <c r="C143" s="1098">
        <f>+C139</f>
        <v>279714.99</v>
      </c>
      <c r="D143" s="1099"/>
      <c r="E143" s="175">
        <f t="shared" si="5"/>
        <v>23309.58</v>
      </c>
      <c r="F143" s="204">
        <f>ROUND(C143*(1+'Løntabel gældende fra'!$D$7/100),0)</f>
        <v>356134</v>
      </c>
      <c r="G143" s="175">
        <f t="shared" si="6"/>
        <v>29677.83</v>
      </c>
      <c r="H143" s="1137">
        <f t="shared" si="7"/>
        <v>4451.67</v>
      </c>
      <c r="I143" s="1138"/>
    </row>
    <row r="144" spans="1:10" ht="17.25" customHeight="1">
      <c r="A144" s="615">
        <v>30</v>
      </c>
      <c r="B144" s="616">
        <v>30</v>
      </c>
      <c r="C144" s="1098">
        <f>+C140</f>
        <v>285044.74</v>
      </c>
      <c r="D144" s="1099"/>
      <c r="E144" s="175">
        <f t="shared" si="5"/>
        <v>23753.73</v>
      </c>
      <c r="F144" s="204">
        <f>ROUND(C144*(1+'Løntabel gældende fra'!$D$7/100),0)</f>
        <v>362920</v>
      </c>
      <c r="G144" s="175">
        <f t="shared" si="6"/>
        <v>30243.33</v>
      </c>
      <c r="H144" s="1137">
        <f t="shared" si="7"/>
        <v>4536.5</v>
      </c>
      <c r="I144" s="1138"/>
    </row>
    <row r="145" spans="1:10" ht="14.25" customHeight="1">
      <c r="A145" s="615">
        <v>31</v>
      </c>
      <c r="B145" s="616">
        <v>31</v>
      </c>
      <c r="C145" s="1098">
        <f>+C141</f>
        <v>290512.64000000001</v>
      </c>
      <c r="D145" s="1099"/>
      <c r="E145" s="175">
        <f t="shared" si="5"/>
        <v>24209.39</v>
      </c>
      <c r="F145" s="204">
        <f>ROUND(C145*(1+'Løntabel gældende fra'!$D$7/100),0)</f>
        <v>369882</v>
      </c>
      <c r="G145" s="175">
        <f t="shared" si="6"/>
        <v>30823.5</v>
      </c>
      <c r="H145" s="1137">
        <f t="shared" si="7"/>
        <v>4623.53</v>
      </c>
      <c r="I145" s="1138"/>
    </row>
    <row r="146" spans="1:10">
      <c r="A146" s="615">
        <v>32</v>
      </c>
      <c r="B146" s="616">
        <v>32</v>
      </c>
      <c r="C146" s="1098">
        <f>+'Statens skalatrin'!N99</f>
        <v>296125.21000000002</v>
      </c>
      <c r="D146" s="1099"/>
      <c r="E146" s="175">
        <f t="shared" si="5"/>
        <v>24677.1</v>
      </c>
      <c r="F146" s="204">
        <f>ROUND(C146*(1+'Løntabel gældende fra'!$D$7/100),0)</f>
        <v>377028</v>
      </c>
      <c r="G146" s="175">
        <f>ROUND(F146/12,2)</f>
        <v>31419</v>
      </c>
      <c r="H146" s="1137">
        <f t="shared" si="7"/>
        <v>4712.8500000000004</v>
      </c>
      <c r="I146" s="1138"/>
    </row>
    <row r="147" spans="1:10" ht="14.4" thickBot="1">
      <c r="A147" s="138">
        <v>33</v>
      </c>
      <c r="B147" s="346">
        <v>33</v>
      </c>
      <c r="C147" s="1147">
        <f>+'Statens skalatrin'!N102</f>
        <v>301881.8</v>
      </c>
      <c r="D147" s="1148"/>
      <c r="E147" s="159">
        <f t="shared" si="5"/>
        <v>25156.82</v>
      </c>
      <c r="F147" s="205">
        <f>ROUND(C147*(1+'Løntabel gældende fra'!$D$7/100),0)</f>
        <v>384357</v>
      </c>
      <c r="G147" s="159">
        <f>ROUND(F147/12,2)</f>
        <v>32029.75</v>
      </c>
      <c r="H147" s="1137">
        <f t="shared" si="7"/>
        <v>4804.46</v>
      </c>
      <c r="I147" s="1138"/>
    </row>
    <row r="148" spans="1:10" ht="21">
      <c r="A148" s="1166" t="s">
        <v>88</v>
      </c>
      <c r="B148" s="1167"/>
      <c r="C148" s="1167"/>
      <c r="D148" s="1167"/>
      <c r="E148" s="1167"/>
      <c r="F148" s="1167"/>
      <c r="G148" s="1167"/>
      <c r="H148" s="1167"/>
      <c r="I148" s="1168"/>
    </row>
    <row r="149" spans="1:10" ht="21">
      <c r="A149" s="1315" t="str">
        <f>'Løntabel gældende fra'!$D$1</f>
        <v>01-08-2026</v>
      </c>
      <c r="B149" s="1316"/>
      <c r="C149" s="1316"/>
      <c r="D149" s="1316"/>
      <c r="E149" s="1316"/>
      <c r="F149" s="1316"/>
      <c r="G149" s="1316"/>
      <c r="H149" s="1316"/>
      <c r="I149" s="1317"/>
    </row>
    <row r="150" spans="1:10" ht="18" thickBot="1">
      <c r="A150" s="1151" t="s">
        <v>85</v>
      </c>
      <c r="B150" s="1152"/>
      <c r="C150" s="1152"/>
      <c r="D150" s="1152"/>
      <c r="E150" s="1152"/>
      <c r="F150" s="1153"/>
      <c r="G150" s="1153"/>
      <c r="H150" s="1153"/>
      <c r="I150" s="1154"/>
    </row>
    <row r="151" spans="1:10">
      <c r="A151" s="1110" t="s">
        <v>0</v>
      </c>
      <c r="B151" s="1157" t="s">
        <v>20</v>
      </c>
      <c r="C151" s="1158"/>
      <c r="D151" s="1158"/>
      <c r="E151" s="1158"/>
      <c r="F151" s="1305" t="s">
        <v>90</v>
      </c>
      <c r="G151" s="1306"/>
      <c r="H151" s="680">
        <v>0.17299999999999999</v>
      </c>
      <c r="I151" s="681"/>
    </row>
    <row r="152" spans="1:10" ht="14.4" thickBot="1">
      <c r="A152" s="1136"/>
      <c r="B152" s="1159"/>
      <c r="C152" s="1160"/>
      <c r="D152" s="1160"/>
      <c r="E152" s="1160"/>
      <c r="F152" s="1159" t="s">
        <v>379</v>
      </c>
      <c r="G152" s="1160"/>
      <c r="H152" s="1160"/>
      <c r="I152" s="1195"/>
    </row>
    <row r="153" spans="1:10">
      <c r="A153" s="153">
        <v>1</v>
      </c>
      <c r="B153" s="1186">
        <f>E10</f>
        <v>29675.73</v>
      </c>
      <c r="C153" s="1188"/>
      <c r="D153" s="1188"/>
      <c r="E153" s="1188"/>
      <c r="F153" s="1186">
        <f>ROUND(B153*$H$151,2)</f>
        <v>5133.8999999999996</v>
      </c>
      <c r="G153" s="1188"/>
      <c r="H153" s="1188"/>
      <c r="I153" s="1187"/>
    </row>
    <row r="154" spans="1:10" ht="15" customHeight="1">
      <c r="A154" s="88">
        <v>2</v>
      </c>
      <c r="B154" s="1189">
        <f>E11</f>
        <v>31622.57</v>
      </c>
      <c r="C154" s="1097"/>
      <c r="D154" s="1097"/>
      <c r="E154" s="1097"/>
      <c r="F154" s="1189">
        <f>ROUND(B154*$H$151,2)</f>
        <v>5470.7</v>
      </c>
      <c r="G154" s="1097"/>
      <c r="H154" s="1097"/>
      <c r="I154" s="1190"/>
    </row>
    <row r="155" spans="1:10">
      <c r="A155" s="88">
        <v>3</v>
      </c>
      <c r="B155" s="1189">
        <f>E12</f>
        <v>34556.769999999997</v>
      </c>
      <c r="C155" s="1097"/>
      <c r="D155" s="1097"/>
      <c r="E155" s="1097"/>
      <c r="F155" s="1189">
        <f>ROUND(B155*$H$151,2)</f>
        <v>5978.32</v>
      </c>
      <c r="G155" s="1097"/>
      <c r="H155" s="1097"/>
      <c r="I155" s="1190"/>
    </row>
    <row r="156" spans="1:10" ht="19.05" customHeight="1" thickBot="1">
      <c r="A156" s="89">
        <v>4</v>
      </c>
      <c r="B156" s="1300">
        <f>E13</f>
        <v>37282.379999999997</v>
      </c>
      <c r="C156" s="1146"/>
      <c r="D156" s="1146"/>
      <c r="E156" s="1146"/>
      <c r="F156" s="1300">
        <f>ROUND(B156*$H$151,2)</f>
        <v>6449.85</v>
      </c>
      <c r="G156" s="1146"/>
      <c r="H156" s="1146"/>
      <c r="I156" s="1182"/>
    </row>
    <row r="157" spans="1:10" ht="13.95" customHeight="1" thickBot="1">
      <c r="A157" s="1123" t="s">
        <v>86</v>
      </c>
      <c r="B157" s="1124"/>
      <c r="C157" s="1124"/>
      <c r="D157" s="1124"/>
      <c r="E157" s="1124"/>
      <c r="F157" s="1124"/>
      <c r="G157" s="1124"/>
      <c r="H157" s="1124"/>
      <c r="I157" s="388"/>
      <c r="J157" s="45"/>
    </row>
    <row r="158" spans="1:10">
      <c r="A158" s="1118" t="s">
        <v>101</v>
      </c>
      <c r="B158" s="1118" t="s">
        <v>133</v>
      </c>
      <c r="C158" s="1269" t="s">
        <v>23</v>
      </c>
      <c r="D158" s="1269"/>
      <c r="E158" s="1269"/>
      <c r="F158" s="1293" t="s">
        <v>24</v>
      </c>
      <c r="G158" s="1269"/>
      <c r="H158" s="1119" t="s">
        <v>90</v>
      </c>
      <c r="I158" s="1120"/>
    </row>
    <row r="159" spans="1:10" ht="14.4" thickBot="1">
      <c r="A159" s="1118"/>
      <c r="B159" s="1118"/>
      <c r="C159" s="1108">
        <v>40999</v>
      </c>
      <c r="D159" s="1108"/>
      <c r="E159" s="1108"/>
      <c r="F159" s="1107" t="str">
        <f>'Løntabel gældende fra'!$D$1</f>
        <v>01-08-2026</v>
      </c>
      <c r="G159" s="1108"/>
      <c r="H159" s="1232"/>
      <c r="I159" s="1234"/>
    </row>
    <row r="160" spans="1:10" ht="14.4" thickBot="1">
      <c r="A160" s="1135"/>
      <c r="B160" s="1118"/>
      <c r="C160" s="1139" t="s">
        <v>83</v>
      </c>
      <c r="D160" s="1120"/>
      <c r="E160" s="566" t="s">
        <v>84</v>
      </c>
      <c r="F160" s="314" t="s">
        <v>83</v>
      </c>
      <c r="G160" s="614" t="s">
        <v>84</v>
      </c>
      <c r="H160" s="1307">
        <v>0.15</v>
      </c>
      <c r="I160" s="1308"/>
    </row>
    <row r="161" spans="1:9">
      <c r="A161" s="132">
        <v>1</v>
      </c>
      <c r="B161" s="345">
        <v>24</v>
      </c>
      <c r="C161" s="1175">
        <f>+'Statens skalatrin'!N75</f>
        <v>255037.97</v>
      </c>
      <c r="D161" s="1176"/>
      <c r="E161" s="158">
        <f t="shared" ref="E161:E175" si="8">ROUND(C161/12,2)</f>
        <v>21253.16</v>
      </c>
      <c r="F161" s="203">
        <f>ROUND(C161*(1+'Løntabel gældende fra'!$D$7/100),0)</f>
        <v>324715</v>
      </c>
      <c r="G161" s="158">
        <f>ROUND(F161/12,2)</f>
        <v>27059.58</v>
      </c>
      <c r="H161" s="1137">
        <f>ROUND(G161*$H$160,2)</f>
        <v>4058.94</v>
      </c>
      <c r="I161" s="1138"/>
    </row>
    <row r="162" spans="1:9">
      <c r="A162" s="615">
        <v>1</v>
      </c>
      <c r="B162" s="616">
        <v>25</v>
      </c>
      <c r="C162" s="1098">
        <f>+'Statens skalatrin'!N78</f>
        <v>259721.7</v>
      </c>
      <c r="D162" s="1099"/>
      <c r="E162" s="175">
        <f t="shared" si="8"/>
        <v>21643.48</v>
      </c>
      <c r="F162" s="204">
        <f>ROUND(C162*(1+'Løntabel gældende fra'!$D$7/100),0)</f>
        <v>330679</v>
      </c>
      <c r="G162" s="175">
        <f t="shared" ref="G162:G175" si="9">ROUND(F162/12,2)</f>
        <v>27556.58</v>
      </c>
      <c r="H162" s="1137">
        <f t="shared" ref="H162:H175" si="10">ROUND(G162*$H$160,2)</f>
        <v>4133.49</v>
      </c>
      <c r="I162" s="1138"/>
    </row>
    <row r="163" spans="1:9">
      <c r="A163" s="615">
        <v>2</v>
      </c>
      <c r="B163" s="616">
        <v>27</v>
      </c>
      <c r="C163" s="1098">
        <f>+'Statens skalatrin'!N84</f>
        <v>269459.90000000002</v>
      </c>
      <c r="D163" s="1099"/>
      <c r="E163" s="175">
        <f t="shared" si="8"/>
        <v>22454.99</v>
      </c>
      <c r="F163" s="204">
        <f>ROUND(C163*(1+'Løntabel gældende fra'!$D$7/100),0)</f>
        <v>343077</v>
      </c>
      <c r="G163" s="175">
        <f t="shared" si="9"/>
        <v>28589.75</v>
      </c>
      <c r="H163" s="1137">
        <f t="shared" si="10"/>
        <v>4288.46</v>
      </c>
      <c r="I163" s="1138"/>
    </row>
    <row r="164" spans="1:9">
      <c r="A164" s="615">
        <v>2</v>
      </c>
      <c r="B164" s="616">
        <v>29</v>
      </c>
      <c r="C164" s="1098">
        <f>+'Statens skalatrin'!N90</f>
        <v>279714.99</v>
      </c>
      <c r="D164" s="1099"/>
      <c r="E164" s="175">
        <f t="shared" si="8"/>
        <v>23309.58</v>
      </c>
      <c r="F164" s="204">
        <f>ROUND(C164*(1+'Løntabel gældende fra'!$D$7/100),0)</f>
        <v>356134</v>
      </c>
      <c r="G164" s="175">
        <f t="shared" si="9"/>
        <v>29677.83</v>
      </c>
      <c r="H164" s="1137">
        <f t="shared" si="10"/>
        <v>4451.67</v>
      </c>
      <c r="I164" s="1138"/>
    </row>
    <row r="165" spans="1:9">
      <c r="A165" s="615">
        <v>3</v>
      </c>
      <c r="B165" s="616">
        <v>31</v>
      </c>
      <c r="C165" s="1098">
        <f>+'Statens skalatrin'!N96</f>
        <v>290512.64000000001</v>
      </c>
      <c r="D165" s="1099"/>
      <c r="E165" s="175">
        <f t="shared" si="8"/>
        <v>24209.39</v>
      </c>
      <c r="F165" s="204">
        <f>ROUND(C165*(1+'Løntabel gældende fra'!$D$7/100),0)</f>
        <v>369882</v>
      </c>
      <c r="G165" s="175">
        <f t="shared" si="9"/>
        <v>30823.5</v>
      </c>
      <c r="H165" s="1137">
        <f t="shared" si="10"/>
        <v>4623.53</v>
      </c>
      <c r="I165" s="1138"/>
    </row>
    <row r="166" spans="1:9">
      <c r="A166" s="615">
        <v>3</v>
      </c>
      <c r="B166" s="616">
        <v>33</v>
      </c>
      <c r="C166" s="1098">
        <f>+'Statens skalatrin'!N102</f>
        <v>301881.8</v>
      </c>
      <c r="D166" s="1099"/>
      <c r="E166" s="175">
        <f t="shared" si="8"/>
        <v>25156.82</v>
      </c>
      <c r="F166" s="204">
        <f>ROUND(C166*(1+'Løntabel gældende fra'!$D$7/100),0)</f>
        <v>384357</v>
      </c>
      <c r="G166" s="175">
        <f t="shared" si="9"/>
        <v>32029.75</v>
      </c>
      <c r="H166" s="1137">
        <f t="shared" si="10"/>
        <v>4804.46</v>
      </c>
      <c r="I166" s="1138"/>
    </row>
    <row r="167" spans="1:9">
      <c r="A167" s="615">
        <v>3</v>
      </c>
      <c r="B167" s="616">
        <v>35</v>
      </c>
      <c r="C167" s="1098">
        <f>+'Statens skalatrin'!N108</f>
        <v>313854.56</v>
      </c>
      <c r="D167" s="1099"/>
      <c r="E167" s="175">
        <f t="shared" si="8"/>
        <v>26154.55</v>
      </c>
      <c r="F167" s="204">
        <f>ROUND(C167*(1+'Løntabel gældende fra'!$D$7/100),0)</f>
        <v>399601</v>
      </c>
      <c r="G167" s="175">
        <f t="shared" si="9"/>
        <v>33300.080000000002</v>
      </c>
      <c r="H167" s="1137">
        <f t="shared" si="10"/>
        <v>4995.01</v>
      </c>
      <c r="I167" s="1138"/>
    </row>
    <row r="168" spans="1:9">
      <c r="A168" s="615">
        <v>3</v>
      </c>
      <c r="B168" s="616">
        <v>37</v>
      </c>
      <c r="C168" s="1098">
        <f>+'Statens skalatrin'!N114</f>
        <v>326457.34000000003</v>
      </c>
      <c r="D168" s="1099"/>
      <c r="E168" s="175">
        <f t="shared" si="8"/>
        <v>27204.78</v>
      </c>
      <c r="F168" s="204">
        <f>ROUND(C168*(1+'Løntabel gældende fra'!$D$7/100),0)</f>
        <v>415647</v>
      </c>
      <c r="G168" s="175">
        <f t="shared" si="9"/>
        <v>34637.25</v>
      </c>
      <c r="H168" s="1137">
        <f t="shared" si="10"/>
        <v>5195.59</v>
      </c>
      <c r="I168" s="1138"/>
    </row>
    <row r="169" spans="1:9">
      <c r="A169" s="615">
        <v>3</v>
      </c>
      <c r="B169" s="616">
        <v>40</v>
      </c>
      <c r="C169" s="1098">
        <f>+'Statens skalatrin'!N123</f>
        <v>347027.46</v>
      </c>
      <c r="D169" s="1099"/>
      <c r="E169" s="175">
        <f t="shared" si="8"/>
        <v>28918.959999999999</v>
      </c>
      <c r="F169" s="204">
        <f>ROUND(C169*(1+'Løntabel gældende fra'!$D$7/100),0)</f>
        <v>441837</v>
      </c>
      <c r="G169" s="175">
        <f t="shared" si="9"/>
        <v>36819.75</v>
      </c>
      <c r="H169" s="1137">
        <f t="shared" si="10"/>
        <v>5522.96</v>
      </c>
      <c r="I169" s="1138"/>
    </row>
    <row r="170" spans="1:9">
      <c r="A170" s="615">
        <v>35</v>
      </c>
      <c r="B170" s="616">
        <v>35</v>
      </c>
      <c r="C170" s="1098">
        <f>+C167</f>
        <v>313854.56</v>
      </c>
      <c r="D170" s="1099"/>
      <c r="E170" s="175">
        <f t="shared" si="8"/>
        <v>26154.55</v>
      </c>
      <c r="F170" s="204">
        <f>ROUND(C170*(1+'Løntabel gældende fra'!$D$7/100),0)</f>
        <v>399601</v>
      </c>
      <c r="G170" s="175">
        <f t="shared" si="9"/>
        <v>33300.080000000002</v>
      </c>
      <c r="H170" s="1137">
        <f t="shared" si="10"/>
        <v>4995.01</v>
      </c>
      <c r="I170" s="1138"/>
    </row>
    <row r="171" spans="1:9">
      <c r="A171" s="615">
        <v>36</v>
      </c>
      <c r="B171" s="616">
        <v>36</v>
      </c>
      <c r="C171" s="1098">
        <f>+'Statens skalatrin'!N111</f>
        <v>320074.68</v>
      </c>
      <c r="D171" s="1099"/>
      <c r="E171" s="175">
        <f t="shared" si="8"/>
        <v>26672.89</v>
      </c>
      <c r="F171" s="204">
        <f>ROUND(C171*(1+'Løntabel gældende fra'!$D$7/100),0)</f>
        <v>407520</v>
      </c>
      <c r="G171" s="175">
        <f t="shared" si="9"/>
        <v>33960</v>
      </c>
      <c r="H171" s="1137">
        <f t="shared" si="10"/>
        <v>5094</v>
      </c>
      <c r="I171" s="1138"/>
    </row>
    <row r="172" spans="1:9" ht="15" customHeight="1">
      <c r="A172" s="615">
        <v>38</v>
      </c>
      <c r="B172" s="616">
        <v>38</v>
      </c>
      <c r="C172" s="1098">
        <f>+'Statens skalatrin'!N117</f>
        <v>333128.88</v>
      </c>
      <c r="D172" s="1099"/>
      <c r="E172" s="175">
        <f t="shared" si="8"/>
        <v>27760.74</v>
      </c>
      <c r="F172" s="204">
        <f>ROUND(C172*(1+'Løntabel gældende fra'!$D$7/100),0)</f>
        <v>424141</v>
      </c>
      <c r="G172" s="175">
        <f t="shared" si="9"/>
        <v>35345.08</v>
      </c>
      <c r="H172" s="1137">
        <f t="shared" si="10"/>
        <v>5301.76</v>
      </c>
      <c r="I172" s="1138"/>
    </row>
    <row r="173" spans="1:9" s="68" customFormat="1" ht="15.75" customHeight="1">
      <c r="A173" s="615">
        <v>40</v>
      </c>
      <c r="B173" s="616">
        <v>40</v>
      </c>
      <c r="C173" s="1098">
        <f>+'Statens skalatrin'!N123</f>
        <v>347027.46</v>
      </c>
      <c r="D173" s="1099"/>
      <c r="E173" s="175">
        <f t="shared" si="8"/>
        <v>28918.959999999999</v>
      </c>
      <c r="F173" s="204">
        <f>ROUND(C173*(1+'Løntabel gældende fra'!$D$7/100),0)</f>
        <v>441837</v>
      </c>
      <c r="G173" s="175">
        <f t="shared" si="9"/>
        <v>36819.75</v>
      </c>
      <c r="H173" s="1137">
        <f t="shared" si="10"/>
        <v>5522.96</v>
      </c>
      <c r="I173" s="1138"/>
    </row>
    <row r="174" spans="1:9" s="68" customFormat="1" ht="14.4">
      <c r="A174" s="615">
        <v>41</v>
      </c>
      <c r="B174" s="616">
        <v>41</v>
      </c>
      <c r="C174" s="1098">
        <f>+'Statens skalatrin'!N126</f>
        <v>354249.23</v>
      </c>
      <c r="D174" s="1099"/>
      <c r="E174" s="175">
        <f t="shared" si="8"/>
        <v>29520.77</v>
      </c>
      <c r="F174" s="204">
        <f>ROUND(C174*(1+'Løntabel gældende fra'!$D$7/100),0)</f>
        <v>451032</v>
      </c>
      <c r="G174" s="175">
        <f t="shared" si="9"/>
        <v>37586</v>
      </c>
      <c r="H174" s="1137">
        <f t="shared" si="10"/>
        <v>5637.9</v>
      </c>
      <c r="I174" s="1138"/>
    </row>
    <row r="175" spans="1:9" s="68" customFormat="1" ht="15" thickBot="1">
      <c r="A175" s="965">
        <v>42</v>
      </c>
      <c r="B175" s="966">
        <v>42</v>
      </c>
      <c r="C175" s="1311">
        <f>+'Statens skalatrin'!N129</f>
        <v>361659.2</v>
      </c>
      <c r="D175" s="1312"/>
      <c r="E175" s="967">
        <f t="shared" si="8"/>
        <v>30138.27</v>
      </c>
      <c r="F175" s="968">
        <f>ROUND(C175*(1+'Løntabel gældende fra'!$D$7/100),0)</f>
        <v>460466</v>
      </c>
      <c r="G175" s="967">
        <f t="shared" si="9"/>
        <v>38372.17</v>
      </c>
      <c r="H175" s="1309">
        <f t="shared" si="10"/>
        <v>5755.83</v>
      </c>
      <c r="I175" s="1310"/>
    </row>
    <row r="176" spans="1:9" s="68" customFormat="1" ht="64.05" customHeight="1" thickBot="1">
      <c r="A176" s="1302" t="s">
        <v>392</v>
      </c>
      <c r="B176" s="1303"/>
      <c r="C176" s="1303"/>
      <c r="D176" s="1303"/>
      <c r="E176" s="1303"/>
      <c r="F176" s="1303"/>
      <c r="G176" s="1303"/>
      <c r="H176" s="1303"/>
      <c r="I176" s="1304"/>
    </row>
    <row r="177" spans="1:9" ht="14.4">
      <c r="A177" s="71"/>
      <c r="B177" s="71"/>
      <c r="C177" s="71"/>
      <c r="D177" s="72"/>
      <c r="E177" s="70"/>
      <c r="F177" s="68"/>
      <c r="G177" s="68"/>
      <c r="H177" s="68"/>
      <c r="I177" s="68"/>
    </row>
    <row r="178" spans="1:9" ht="14.4">
      <c r="A178" s="71"/>
      <c r="B178" s="71"/>
      <c r="C178" s="71"/>
      <c r="D178" s="73"/>
      <c r="E178" s="74"/>
      <c r="F178" s="68"/>
      <c r="G178" s="68"/>
      <c r="H178" s="68"/>
      <c r="I178" s="68"/>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7"/>
      <c r="B220" s="7"/>
      <c r="C220" s="7"/>
      <c r="D220" s="7"/>
      <c r="E220" s="7"/>
      <c r="F220" s="7"/>
      <c r="G220" s="7"/>
      <c r="H220" s="7"/>
      <c r="I220" s="7"/>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row r="224" spans="1:9">
      <c r="A224" s="1"/>
      <c r="B224" s="1"/>
      <c r="C224" s="1"/>
      <c r="D224" s="1"/>
      <c r="E224" s="1"/>
      <c r="F224" s="1"/>
      <c r="G224" s="1"/>
      <c r="H224" s="1"/>
      <c r="I224" s="1"/>
    </row>
  </sheetData>
  <mergeCells count="280">
    <mergeCell ref="J17:K23"/>
    <mergeCell ref="N17:P17"/>
    <mergeCell ref="N18:N19"/>
    <mergeCell ref="U18:U19"/>
    <mergeCell ref="C28:E28"/>
    <mergeCell ref="F28:I28"/>
    <mergeCell ref="L17:M19"/>
    <mergeCell ref="U17:X17"/>
    <mergeCell ref="J15:X15"/>
    <mergeCell ref="J16:X16"/>
    <mergeCell ref="S17:T19"/>
    <mergeCell ref="Q17:Q19"/>
    <mergeCell ref="F126:I126"/>
    <mergeCell ref="F127:I127"/>
    <mergeCell ref="F128:I128"/>
    <mergeCell ref="F129:I129"/>
    <mergeCell ref="B126:E126"/>
    <mergeCell ref="B127:E127"/>
    <mergeCell ref="B128:E128"/>
    <mergeCell ref="B129:E129"/>
    <mergeCell ref="C132:E132"/>
    <mergeCell ref="A130:I130"/>
    <mergeCell ref="H131:I132"/>
    <mergeCell ref="H133:I133"/>
    <mergeCell ref="H134:I134"/>
    <mergeCell ref="H135:I135"/>
    <mergeCell ref="H166:I166"/>
    <mergeCell ref="H147:I147"/>
    <mergeCell ref="A148:I148"/>
    <mergeCell ref="A149:I149"/>
    <mergeCell ref="H143:I143"/>
    <mergeCell ref="C161:D161"/>
    <mergeCell ref="H142:I142"/>
    <mergeCell ref="C135:D135"/>
    <mergeCell ref="C146:D146"/>
    <mergeCell ref="C147:D147"/>
    <mergeCell ref="C141:D141"/>
    <mergeCell ref="C142:D142"/>
    <mergeCell ref="C143:D143"/>
    <mergeCell ref="B154:E154"/>
    <mergeCell ref="B155:E155"/>
    <mergeCell ref="C145:D145"/>
    <mergeCell ref="C136:D136"/>
    <mergeCell ref="C138:D138"/>
    <mergeCell ref="C139:D139"/>
    <mergeCell ref="C140:D140"/>
    <mergeCell ref="C162:D162"/>
    <mergeCell ref="H174:I174"/>
    <mergeCell ref="H175:I175"/>
    <mergeCell ref="C175:D175"/>
    <mergeCell ref="C167:D167"/>
    <mergeCell ref="C168:D168"/>
    <mergeCell ref="C170:D170"/>
    <mergeCell ref="C171:D171"/>
    <mergeCell ref="C172:D172"/>
    <mergeCell ref="C173:D173"/>
    <mergeCell ref="C169:D169"/>
    <mergeCell ref="C174:D174"/>
    <mergeCell ref="H167:I167"/>
    <mergeCell ref="H168:I168"/>
    <mergeCell ref="H169:I169"/>
    <mergeCell ref="H170:I170"/>
    <mergeCell ref="H171:I171"/>
    <mergeCell ref="H172:I172"/>
    <mergeCell ref="H173:I173"/>
    <mergeCell ref="A176:I176"/>
    <mergeCell ref="C163:D163"/>
    <mergeCell ref="C164:D164"/>
    <mergeCell ref="C165:D165"/>
    <mergeCell ref="C166:D166"/>
    <mergeCell ref="F151:G151"/>
    <mergeCell ref="F152:I152"/>
    <mergeCell ref="B151:E152"/>
    <mergeCell ref="B153:E153"/>
    <mergeCell ref="B156:E156"/>
    <mergeCell ref="F153:I153"/>
    <mergeCell ref="F154:I154"/>
    <mergeCell ref="F155:I155"/>
    <mergeCell ref="F156:I156"/>
    <mergeCell ref="H158:I159"/>
    <mergeCell ref="H160:I160"/>
    <mergeCell ref="H161:I161"/>
    <mergeCell ref="H162:I162"/>
    <mergeCell ref="H163:I163"/>
    <mergeCell ref="H164:I164"/>
    <mergeCell ref="H165:I165"/>
    <mergeCell ref="B158:B160"/>
    <mergeCell ref="C158:E158"/>
    <mergeCell ref="F158:G158"/>
    <mergeCell ref="B56:C56"/>
    <mergeCell ref="D56:E56"/>
    <mergeCell ref="F52:G52"/>
    <mergeCell ref="F53:G53"/>
    <mergeCell ref="F54:G54"/>
    <mergeCell ref="A34:I34"/>
    <mergeCell ref="C27:E27"/>
    <mergeCell ref="A88:G89"/>
    <mergeCell ref="A90:G90"/>
    <mergeCell ref="F35:I35"/>
    <mergeCell ref="F61:G61"/>
    <mergeCell ref="B62:C62"/>
    <mergeCell ref="D62:E62"/>
    <mergeCell ref="F62:G62"/>
    <mergeCell ref="B63:C63"/>
    <mergeCell ref="D63:E63"/>
    <mergeCell ref="A76:G77"/>
    <mergeCell ref="D48:E48"/>
    <mergeCell ref="D53:E53"/>
    <mergeCell ref="F57:G57"/>
    <mergeCell ref="A74:I74"/>
    <mergeCell ref="F56:G56"/>
    <mergeCell ref="D47:E47"/>
    <mergeCell ref="A59:G59"/>
    <mergeCell ref="H136:I136"/>
    <mergeCell ref="A78:G78"/>
    <mergeCell ref="P4:AB4"/>
    <mergeCell ref="A3:I3"/>
    <mergeCell ref="A25:I25"/>
    <mergeCell ref="A5:H5"/>
    <mergeCell ref="F17:H17"/>
    <mergeCell ref="B7:B9"/>
    <mergeCell ref="A7:A9"/>
    <mergeCell ref="A35:A36"/>
    <mergeCell ref="A15:H15"/>
    <mergeCell ref="C18:C19"/>
    <mergeCell ref="F18:F19"/>
    <mergeCell ref="F7:H7"/>
    <mergeCell ref="B35:E35"/>
    <mergeCell ref="A32:I32"/>
    <mergeCell ref="A6:H6"/>
    <mergeCell ref="A16:H16"/>
    <mergeCell ref="A33:I33"/>
    <mergeCell ref="F30:I30"/>
    <mergeCell ref="F113:G113"/>
    <mergeCell ref="A52:A53"/>
    <mergeCell ref="D98:E98"/>
    <mergeCell ref="H112:I112"/>
    <mergeCell ref="A1:I1"/>
    <mergeCell ref="A44:A45"/>
    <mergeCell ref="C7:E7"/>
    <mergeCell ref="C17:E17"/>
    <mergeCell ref="F27:I27"/>
    <mergeCell ref="B44:C44"/>
    <mergeCell ref="D44:E44"/>
    <mergeCell ref="B45:C45"/>
    <mergeCell ref="D45:E45"/>
    <mergeCell ref="A27:B27"/>
    <mergeCell ref="A17:B23"/>
    <mergeCell ref="A2:I2"/>
    <mergeCell ref="A30:B30"/>
    <mergeCell ref="A29:B29"/>
    <mergeCell ref="C29:E29"/>
    <mergeCell ref="C30:E30"/>
    <mergeCell ref="A43:G43"/>
    <mergeCell ref="F29:I29"/>
    <mergeCell ref="A42:G42"/>
    <mergeCell ref="A26:I26"/>
    <mergeCell ref="F44:G44"/>
    <mergeCell ref="F45:G45"/>
    <mergeCell ref="A28:B28"/>
    <mergeCell ref="A102:C103"/>
    <mergeCell ref="F102:G102"/>
    <mergeCell ref="A93:G93"/>
    <mergeCell ref="A92:G92"/>
    <mergeCell ref="A80:I80"/>
    <mergeCell ref="A81:I81"/>
    <mergeCell ref="A85:I85"/>
    <mergeCell ref="A82:G83"/>
    <mergeCell ref="A84:G84"/>
    <mergeCell ref="A91:G91"/>
    <mergeCell ref="D102:E102"/>
    <mergeCell ref="A98:C99"/>
    <mergeCell ref="A122:I122"/>
    <mergeCell ref="D46:E46"/>
    <mergeCell ref="B46:C46"/>
    <mergeCell ref="B54:C54"/>
    <mergeCell ref="D54:E54"/>
    <mergeCell ref="F46:G46"/>
    <mergeCell ref="F47:G47"/>
    <mergeCell ref="A68:I68"/>
    <mergeCell ref="F48:G48"/>
    <mergeCell ref="F55:G55"/>
    <mergeCell ref="B48:C48"/>
    <mergeCell ref="F63:G63"/>
    <mergeCell ref="B64:C64"/>
    <mergeCell ref="D64:E64"/>
    <mergeCell ref="F64:G64"/>
    <mergeCell ref="F98:G98"/>
    <mergeCell ref="A97:G97"/>
    <mergeCell ref="A69:I69"/>
    <mergeCell ref="A75:I75"/>
    <mergeCell ref="A87:I87"/>
    <mergeCell ref="D99:E99"/>
    <mergeCell ref="F99:G99"/>
    <mergeCell ref="F103:G103"/>
    <mergeCell ref="B65:C65"/>
    <mergeCell ref="A60:G60"/>
    <mergeCell ref="A61:A62"/>
    <mergeCell ref="B61:C61"/>
    <mergeCell ref="D61:E61"/>
    <mergeCell ref="D65:E65"/>
    <mergeCell ref="F65:G65"/>
    <mergeCell ref="B66:C66"/>
    <mergeCell ref="D66:E66"/>
    <mergeCell ref="F66:G66"/>
    <mergeCell ref="A70:F72"/>
    <mergeCell ref="B57:C57"/>
    <mergeCell ref="D57:E57"/>
    <mergeCell ref="B47:C47"/>
    <mergeCell ref="D103:E103"/>
    <mergeCell ref="A150:I150"/>
    <mergeCell ref="H138:I138"/>
    <mergeCell ref="H139:I139"/>
    <mergeCell ref="H140:I140"/>
    <mergeCell ref="H141:I141"/>
    <mergeCell ref="H137:I137"/>
    <mergeCell ref="H124:I124"/>
    <mergeCell ref="B124:E125"/>
    <mergeCell ref="H113:I113"/>
    <mergeCell ref="F125:I125"/>
    <mergeCell ref="F110:G110"/>
    <mergeCell ref="A121:I121"/>
    <mergeCell ref="A107:I107"/>
    <mergeCell ref="A109:I109"/>
    <mergeCell ref="A113:E113"/>
    <mergeCell ref="C134:D134"/>
    <mergeCell ref="C131:E131"/>
    <mergeCell ref="F131:G131"/>
    <mergeCell ref="A50:G50"/>
    <mergeCell ref="C159:E159"/>
    <mergeCell ref="F159:G159"/>
    <mergeCell ref="A157:H157"/>
    <mergeCell ref="A158:A160"/>
    <mergeCell ref="A151:A152"/>
    <mergeCell ref="C137:D137"/>
    <mergeCell ref="C144:D144"/>
    <mergeCell ref="H144:I144"/>
    <mergeCell ref="H145:I145"/>
    <mergeCell ref="H146:I146"/>
    <mergeCell ref="C160:D160"/>
    <mergeCell ref="B55:C55"/>
    <mergeCell ref="D55:E55"/>
    <mergeCell ref="B52:C52"/>
    <mergeCell ref="D52:E52"/>
    <mergeCell ref="B53:C53"/>
    <mergeCell ref="A51:G51"/>
    <mergeCell ref="F132:G132"/>
    <mergeCell ref="A131:A133"/>
    <mergeCell ref="A94:I94"/>
    <mergeCell ref="A95:I95"/>
    <mergeCell ref="A86:I86"/>
    <mergeCell ref="A124:A125"/>
    <mergeCell ref="H110:I110"/>
    <mergeCell ref="B131:B133"/>
    <mergeCell ref="C133:D133"/>
    <mergeCell ref="F124:G124"/>
    <mergeCell ref="A123:I123"/>
    <mergeCell ref="A117:E117"/>
    <mergeCell ref="F117:G117"/>
    <mergeCell ref="H117:I117"/>
    <mergeCell ref="A118:E118"/>
    <mergeCell ref="F118:G118"/>
    <mergeCell ref="H118:I118"/>
    <mergeCell ref="A119:I119"/>
    <mergeCell ref="A108:I108"/>
    <mergeCell ref="A114:E114"/>
    <mergeCell ref="F114:G114"/>
    <mergeCell ref="H114:I114"/>
    <mergeCell ref="A115:E115"/>
    <mergeCell ref="F115:G115"/>
    <mergeCell ref="H115:I115"/>
    <mergeCell ref="A116:E116"/>
    <mergeCell ref="F116:G116"/>
    <mergeCell ref="H116:I116"/>
    <mergeCell ref="F111:G111"/>
    <mergeCell ref="H111:I111"/>
    <mergeCell ref="A110:E110"/>
    <mergeCell ref="A111:E111"/>
    <mergeCell ref="A112:E112"/>
    <mergeCell ref="F112:G112"/>
  </mergeCells>
  <phoneticPr fontId="7" type="noConversion"/>
  <pageMargins left="0.43307086614173229" right="0.39370078740157483" top="0.39370078740157483" bottom="0.39370078740157483" header="0.19685039370078741" footer="7.874015748031496E-2"/>
  <pageSetup paperSize="9" scale="78"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49" max="8" man="1"/>
    <brk id="120"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topLeftCell="A76" zoomScaleSheetLayoutView="100" workbookViewId="0">
      <selection activeCell="B67" sqref="B67"/>
    </sheetView>
  </sheetViews>
  <sheetFormatPr defaultColWidth="8.77734375" defaultRowHeight="13.8"/>
  <cols>
    <col min="1" max="1" width="21.6640625" style="2" customWidth="1"/>
    <col min="2" max="2" width="20.6640625" style="2" customWidth="1"/>
    <col min="3" max="3" width="14" style="2" customWidth="1"/>
    <col min="4" max="4" width="21.6640625" style="2" customWidth="1"/>
    <col min="5" max="5" width="17.109375" style="2" customWidth="1"/>
    <col min="6" max="6" width="21.33203125" style="2" customWidth="1"/>
    <col min="7" max="7" width="0.109375" style="2" customWidth="1"/>
    <col min="8" max="8" width="17.109375" style="2" customWidth="1"/>
    <col min="9" max="9" width="26.6640625" style="2" customWidth="1"/>
    <col min="10" max="16384" width="8.77734375" style="2"/>
  </cols>
  <sheetData>
    <row r="1" spans="1:16" ht="28.05" customHeight="1">
      <c r="A1" s="1223" t="s">
        <v>421</v>
      </c>
      <c r="B1" s="1224"/>
      <c r="C1" s="1224"/>
      <c r="D1" s="1224"/>
      <c r="E1" s="1224"/>
      <c r="F1" s="1224"/>
      <c r="G1" s="1225"/>
      <c r="N1" s="833"/>
      <c r="O1" s="833"/>
      <c r="P1" s="833"/>
    </row>
    <row r="2" spans="1:16" ht="27" customHeight="1" thickBot="1">
      <c r="A2" s="1257" t="str">
        <f>'Forside 1'!A6:I6</f>
        <v>Gældende fra 1. august 2026</v>
      </c>
      <c r="B2" s="1258"/>
      <c r="C2" s="1258"/>
      <c r="D2" s="1258"/>
      <c r="E2" s="1258"/>
      <c r="F2" s="1258"/>
      <c r="G2" s="872"/>
      <c r="L2" s="833"/>
      <c r="M2" s="833"/>
      <c r="N2" s="833"/>
    </row>
    <row r="3" spans="1:16" ht="18" customHeight="1" thickBot="1">
      <c r="A3" s="836"/>
      <c r="B3" s="836"/>
      <c r="C3" s="836"/>
      <c r="D3" s="836"/>
      <c r="E3" s="836"/>
      <c r="F3" s="836"/>
      <c r="G3" s="835"/>
      <c r="N3" s="833"/>
      <c r="O3" s="833"/>
      <c r="P3" s="833"/>
    </row>
    <row r="4" spans="1:16" ht="13.95" customHeight="1">
      <c r="A4" s="1370" t="s">
        <v>388</v>
      </c>
      <c r="B4" s="1371"/>
      <c r="C4" s="1371"/>
      <c r="D4" s="1371"/>
      <c r="E4" s="1371"/>
      <c r="F4" s="1372"/>
      <c r="G4" s="78"/>
      <c r="N4" s="1365"/>
      <c r="O4" s="1365"/>
      <c r="P4" s="1365"/>
    </row>
    <row r="5" spans="1:16" ht="13.95" customHeight="1">
      <c r="A5" s="1373"/>
      <c r="B5" s="1374"/>
      <c r="C5" s="1374"/>
      <c r="D5" s="1374"/>
      <c r="E5" s="1374"/>
      <c r="F5" s="1375"/>
      <c r="G5" s="78"/>
      <c r="H5"/>
      <c r="N5" s="42"/>
      <c r="O5" s="42"/>
      <c r="P5" s="42"/>
    </row>
    <row r="6" spans="1:16" customFormat="1" ht="15" customHeight="1" thickBot="1">
      <c r="A6" s="1169" t="s">
        <v>276</v>
      </c>
      <c r="B6" s="1170"/>
      <c r="C6" s="1170"/>
      <c r="D6" s="1170"/>
      <c r="E6" s="1170"/>
      <c r="F6" s="1171"/>
      <c r="G6" s="78"/>
    </row>
    <row r="7" spans="1:16" customFormat="1" ht="15" customHeight="1">
      <c r="A7" s="1366"/>
      <c r="B7" s="1367"/>
      <c r="C7" s="1361" t="s">
        <v>128</v>
      </c>
      <c r="D7" s="1362"/>
      <c r="E7" s="1361" t="s">
        <v>306</v>
      </c>
      <c r="F7" s="1362"/>
      <c r="G7" s="60"/>
    </row>
    <row r="8" spans="1:16" customFormat="1" ht="24" customHeight="1" thickBot="1">
      <c r="A8" s="1368"/>
      <c r="B8" s="1369"/>
      <c r="C8" s="1358">
        <v>40999</v>
      </c>
      <c r="D8" s="1354"/>
      <c r="E8" s="1353" t="str">
        <f>'Løntabel gældende fra'!D1</f>
        <v>01-08-2026</v>
      </c>
      <c r="F8" s="1354"/>
      <c r="G8" s="60"/>
    </row>
    <row r="9" spans="1:16" customFormat="1" ht="16.95" customHeight="1" thickBot="1">
      <c r="A9" s="1363" t="s">
        <v>112</v>
      </c>
      <c r="B9" s="1364"/>
      <c r="C9" s="1377" t="s">
        <v>283</v>
      </c>
      <c r="D9" s="1356"/>
      <c r="E9" s="1377" t="s">
        <v>283</v>
      </c>
      <c r="F9" s="1356"/>
      <c r="G9" s="60"/>
    </row>
    <row r="10" spans="1:16" customFormat="1" ht="16.95" customHeight="1">
      <c r="A10" s="1412" t="s">
        <v>113</v>
      </c>
      <c r="B10" s="1413"/>
      <c r="C10" s="95">
        <v>382714</v>
      </c>
      <c r="D10" s="96">
        <v>452573</v>
      </c>
      <c r="E10" s="95">
        <f>C10+C10*'Løntabel gældende fra'!$D$7%</f>
        <v>487272.99565599998</v>
      </c>
      <c r="F10" s="96">
        <f>D10+D10*'Løntabel gældende fra'!$D$7%</f>
        <v>576217.75389200007</v>
      </c>
      <c r="G10" s="53"/>
    </row>
    <row r="11" spans="1:16" customFormat="1" ht="16.95" customHeight="1">
      <c r="A11" s="1408" t="s">
        <v>114</v>
      </c>
      <c r="B11" s="1409"/>
      <c r="C11" s="97">
        <v>412239</v>
      </c>
      <c r="D11" s="121">
        <v>492583</v>
      </c>
      <c r="E11" s="98">
        <f>C11+C11*'Løntabel gældende fra'!$D$7%</f>
        <v>524864.34375600005</v>
      </c>
      <c r="F11" s="93">
        <f>D11+D11*'Løntabel gældende fra'!$D$7%</f>
        <v>627158.64593200001</v>
      </c>
      <c r="G11" s="53"/>
    </row>
    <row r="12" spans="1:16" customFormat="1" ht="16.95" customHeight="1">
      <c r="A12" s="1414" t="s">
        <v>386</v>
      </c>
      <c r="B12" s="1415"/>
      <c r="C12" s="98">
        <v>447845</v>
      </c>
      <c r="D12" s="93">
        <v>537363</v>
      </c>
      <c r="E12" s="98">
        <f>C12+C12*'Løntabel gældende fra'!$D$7%</f>
        <v>570198.04538000003</v>
      </c>
      <c r="F12" s="93">
        <f>D12+D12*'Løntabel gældende fra'!$D$7%</f>
        <v>684172.72105200007</v>
      </c>
      <c r="G12" s="53"/>
      <c r="H12" s="57"/>
    </row>
    <row r="13" spans="1:16" s="57" customFormat="1" ht="16.95" customHeight="1" thickBot="1">
      <c r="A13" s="1410" t="s">
        <v>387</v>
      </c>
      <c r="B13" s="1411"/>
      <c r="C13" s="690">
        <v>447845</v>
      </c>
      <c r="D13" s="691">
        <v>592411</v>
      </c>
      <c r="E13" s="690">
        <f>C13+C13*'Løntabel gældende fra'!$D$7%</f>
        <v>570198.04538000003</v>
      </c>
      <c r="F13" s="691">
        <f>D13+D13*'Løntabel gældende fra'!$D$7%</f>
        <v>754260.05484400003</v>
      </c>
      <c r="G13" s="53"/>
      <c r="H13" s="2"/>
    </row>
    <row r="14" spans="1:16" ht="18" customHeight="1" thickBot="1">
      <c r="A14" s="77"/>
      <c r="B14" s="77"/>
      <c r="C14" s="77"/>
      <c r="D14" s="77"/>
      <c r="E14" s="77"/>
      <c r="F14" s="77"/>
      <c r="G14" s="77"/>
    </row>
    <row r="15" spans="1:16" ht="13.95" customHeight="1">
      <c r="A15" s="1166" t="s">
        <v>391</v>
      </c>
      <c r="B15" s="1167"/>
      <c r="C15" s="1167"/>
      <c r="D15" s="1167"/>
      <c r="E15" s="1167"/>
      <c r="F15" s="1168"/>
      <c r="G15" s="78"/>
      <c r="H15" s="703"/>
    </row>
    <row r="16" spans="1:16" ht="13.95" customHeight="1">
      <c r="A16" s="1405"/>
      <c r="B16" s="1406"/>
      <c r="C16" s="1406"/>
      <c r="D16" s="1406"/>
      <c r="E16" s="1406"/>
      <c r="F16" s="1407"/>
      <c r="G16" s="78"/>
      <c r="H16" s="703" t="s">
        <v>126</v>
      </c>
      <c r="I16" s="703"/>
      <c r="N16" s="42"/>
      <c r="O16" s="42"/>
      <c r="P16" s="42"/>
    </row>
    <row r="17" spans="1:16" customFormat="1" ht="15" customHeight="1" thickBot="1">
      <c r="A17" s="1169" t="s">
        <v>276</v>
      </c>
      <c r="B17" s="1170"/>
      <c r="C17" s="1170"/>
      <c r="D17" s="1170"/>
      <c r="E17" s="1170"/>
      <c r="F17" s="1171"/>
      <c r="G17" s="78"/>
      <c r="H17" s="704"/>
      <c r="I17" s="703"/>
    </row>
    <row r="18" spans="1:16" customFormat="1" ht="15" customHeight="1">
      <c r="A18" s="1217"/>
      <c r="B18" s="1219"/>
      <c r="C18" s="1357" t="s">
        <v>128</v>
      </c>
      <c r="D18" s="1081"/>
      <c r="E18" s="1357" t="s">
        <v>306</v>
      </c>
      <c r="F18" s="1081"/>
      <c r="G18" s="60"/>
      <c r="H18" s="703"/>
      <c r="I18" s="704"/>
    </row>
    <row r="19" spans="1:16" customFormat="1" ht="24" customHeight="1" thickBot="1">
      <c r="A19" s="1359"/>
      <c r="B19" s="1360"/>
      <c r="C19" s="1358">
        <v>40999</v>
      </c>
      <c r="D19" s="1354"/>
      <c r="E19" s="1353" t="str">
        <f>'Løntabel gældende fra'!D1</f>
        <v>01-08-2026</v>
      </c>
      <c r="F19" s="1354"/>
      <c r="G19" s="60"/>
      <c r="H19" s="704">
        <v>35388</v>
      </c>
      <c r="I19" s="703"/>
    </row>
    <row r="20" spans="1:16" customFormat="1" ht="16.95" customHeight="1" thickBot="1">
      <c r="A20" s="692" t="s">
        <v>112</v>
      </c>
      <c r="B20" s="415" t="s">
        <v>116</v>
      </c>
      <c r="C20" s="1355" t="s">
        <v>283</v>
      </c>
      <c r="D20" s="1356"/>
      <c r="E20" s="1377" t="s">
        <v>283</v>
      </c>
      <c r="F20" s="1356"/>
      <c r="G20" s="60"/>
      <c r="H20" s="704">
        <v>35388</v>
      </c>
      <c r="I20" s="704">
        <v>26213</v>
      </c>
    </row>
    <row r="21" spans="1:16" customFormat="1" ht="16.95" customHeight="1">
      <c r="A21" s="696" t="s">
        <v>117</v>
      </c>
      <c r="B21" s="695" t="s">
        <v>118</v>
      </c>
      <c r="C21" s="122">
        <f>C10+H19</f>
        <v>418102</v>
      </c>
      <c r="D21" s="123">
        <f>D10+I20</f>
        <v>478786</v>
      </c>
      <c r="E21" s="119">
        <f>C21+C21*'Løntabel gældende fra'!$D$7%</f>
        <v>532329.13880800002</v>
      </c>
      <c r="F21" s="120">
        <f>D21+D21*'Løntabel gældende fra'!$D$7%</f>
        <v>609592.25034400006</v>
      </c>
      <c r="G21" s="53"/>
      <c r="H21" s="704">
        <v>35388</v>
      </c>
      <c r="I21" s="704">
        <v>26213</v>
      </c>
    </row>
    <row r="22" spans="1:16" customFormat="1" ht="16.95" customHeight="1">
      <c r="A22" s="402" t="s">
        <v>114</v>
      </c>
      <c r="B22" s="88" t="s">
        <v>118</v>
      </c>
      <c r="C22" s="97">
        <f>C11+H20</f>
        <v>447627</v>
      </c>
      <c r="D22" s="121">
        <f>D11+I21</f>
        <v>518796</v>
      </c>
      <c r="E22" s="94">
        <f>C22+C22*'Løntabel gældende fra'!$D$7%</f>
        <v>569920.48690799996</v>
      </c>
      <c r="F22" s="93">
        <f>D22+D22*'Løntabel gældende fra'!$D$7%</f>
        <v>660533.14238400001</v>
      </c>
      <c r="G22" s="53"/>
      <c r="H22" s="704">
        <v>52426</v>
      </c>
      <c r="I22" s="704">
        <v>26213</v>
      </c>
    </row>
    <row r="23" spans="1:16" s="57" customFormat="1" ht="16.95" customHeight="1">
      <c r="A23" s="693" t="s">
        <v>115</v>
      </c>
      <c r="B23" s="694" t="s">
        <v>118</v>
      </c>
      <c r="C23" s="122">
        <f>C12+H21</f>
        <v>483233</v>
      </c>
      <c r="D23" s="123">
        <f>D12+I22</f>
        <v>563576</v>
      </c>
      <c r="E23" s="124">
        <f>C23+C23*'Løntabel gældende fra'!$D$7%</f>
        <v>615254.18853199994</v>
      </c>
      <c r="F23" s="125">
        <f>D23+D23*'Løntabel gældende fra'!$D$7%</f>
        <v>717547.21750400006</v>
      </c>
      <c r="G23" s="53"/>
      <c r="H23" s="704">
        <v>52426</v>
      </c>
      <c r="I23" s="704">
        <v>43252</v>
      </c>
    </row>
    <row r="24" spans="1:16" s="57" customFormat="1" ht="16.95" customHeight="1">
      <c r="A24" s="697" t="s">
        <v>119</v>
      </c>
      <c r="B24" s="699" t="s">
        <v>120</v>
      </c>
      <c r="C24" s="98">
        <f>C10+H22</f>
        <v>435140</v>
      </c>
      <c r="D24" s="93">
        <f>D10+I23</f>
        <v>495825</v>
      </c>
      <c r="E24" s="94">
        <f>C24+C24*'Løntabel gældende fra'!$D$7%</f>
        <v>554021.98855999997</v>
      </c>
      <c r="F24" s="93">
        <f>D24+D24*'Løntabel gældende fra'!$D$7%</f>
        <v>631286.37329999998</v>
      </c>
      <c r="G24" s="65"/>
      <c r="H24" s="704">
        <v>52426</v>
      </c>
      <c r="I24" s="704">
        <v>43252</v>
      </c>
    </row>
    <row r="25" spans="1:16" s="57" customFormat="1" ht="16.95" customHeight="1">
      <c r="A25" s="697" t="s">
        <v>114</v>
      </c>
      <c r="B25" s="699" t="s">
        <v>120</v>
      </c>
      <c r="C25" s="122">
        <f>C11+H23</f>
        <v>464665</v>
      </c>
      <c r="D25" s="123">
        <f>D11+I24</f>
        <v>535835</v>
      </c>
      <c r="E25" s="126">
        <f>C25+C25*'Løntabel gældende fra'!$D$7%</f>
        <v>591613.33666000003</v>
      </c>
      <c r="F25" s="123">
        <f>D25+D25*'Løntabel gældende fra'!$D$7%</f>
        <v>682227.26534000004</v>
      </c>
      <c r="G25" s="65"/>
      <c r="H25" s="705">
        <v>70776</v>
      </c>
      <c r="I25" s="704">
        <v>43252</v>
      </c>
    </row>
    <row r="26" spans="1:16" s="57" customFormat="1" ht="16.95" customHeight="1">
      <c r="A26" s="697" t="s">
        <v>115</v>
      </c>
      <c r="B26" s="699" t="s">
        <v>120</v>
      </c>
      <c r="C26" s="98">
        <f>C12+H24</f>
        <v>500271</v>
      </c>
      <c r="D26" s="93">
        <f>D12+I25</f>
        <v>580615</v>
      </c>
      <c r="E26" s="94">
        <f>C26+C26*'Løntabel gældende fra'!$D$7%</f>
        <v>636947.03828400001</v>
      </c>
      <c r="F26" s="93">
        <f>D26+D26*'Løntabel gældende fra'!$D$7%</f>
        <v>739241.34045999998</v>
      </c>
      <c r="G26" s="65"/>
      <c r="H26" s="705">
        <v>70776</v>
      </c>
      <c r="I26" s="705">
        <v>61601</v>
      </c>
    </row>
    <row r="27" spans="1:16" s="57" customFormat="1" ht="16.95" customHeight="1">
      <c r="A27" s="697" t="s">
        <v>119</v>
      </c>
      <c r="B27" s="699" t="s">
        <v>121</v>
      </c>
      <c r="C27" s="98">
        <f>C10+H25</f>
        <v>453490</v>
      </c>
      <c r="D27" s="93">
        <f>D10+I26</f>
        <v>514174</v>
      </c>
      <c r="E27" s="119">
        <f>C27+C27*'Løntabel gældende fra'!$D$7%</f>
        <v>577385.28196000005</v>
      </c>
      <c r="F27" s="120">
        <f>D27+D27*'Løntabel gældende fra'!$D$7%</f>
        <v>654648.39349599998</v>
      </c>
      <c r="G27" s="65"/>
      <c r="H27" s="705">
        <v>70776</v>
      </c>
      <c r="I27" s="705">
        <v>61601</v>
      </c>
    </row>
    <row r="28" spans="1:16" s="57" customFormat="1" ht="16.95" customHeight="1">
      <c r="A28" s="697" t="s">
        <v>114</v>
      </c>
      <c r="B28" s="699" t="s">
        <v>121</v>
      </c>
      <c r="C28" s="98">
        <f>C11+H26</f>
        <v>483015</v>
      </c>
      <c r="D28" s="93">
        <f>D11+I27</f>
        <v>554184</v>
      </c>
      <c r="E28" s="94">
        <f>C28+C28*'Løntabel gældende fra'!$D$7%</f>
        <v>614976.63006</v>
      </c>
      <c r="F28" s="93">
        <f>D28+D28*'Løntabel gældende fra'!$D$7%</f>
        <v>705589.28553600004</v>
      </c>
      <c r="G28" s="65"/>
      <c r="H28" s="705"/>
      <c r="I28" s="705">
        <v>61601</v>
      </c>
    </row>
    <row r="29" spans="1:16" s="57" customFormat="1" ht="18" customHeight="1" thickBot="1">
      <c r="A29" s="698" t="s">
        <v>115</v>
      </c>
      <c r="B29" s="700" t="s">
        <v>121</v>
      </c>
      <c r="C29" s="99">
        <f>C12+H27</f>
        <v>518621</v>
      </c>
      <c r="D29" s="101">
        <f>D12+I28</f>
        <v>598964</v>
      </c>
      <c r="E29" s="100">
        <f>C29+C29*'Løntabel gældende fra'!$D$7%</f>
        <v>660310.33168399998</v>
      </c>
      <c r="F29" s="101">
        <f>D29+D29*'Løntabel gældende fra'!$D$7%</f>
        <v>762603.36065599998</v>
      </c>
      <c r="G29" s="65"/>
      <c r="H29" s="2"/>
      <c r="I29" s="705"/>
    </row>
    <row r="30" spans="1:16" ht="24" customHeight="1" thickBot="1">
      <c r="A30" s="65"/>
      <c r="B30" s="65"/>
      <c r="C30" s="65"/>
      <c r="D30" s="65"/>
      <c r="E30" s="65"/>
      <c r="F30" s="65"/>
      <c r="G30" s="65"/>
      <c r="N30" s="1384"/>
      <c r="O30" s="1384"/>
      <c r="P30" s="1384"/>
    </row>
    <row r="31" spans="1:16" ht="10.95" customHeight="1">
      <c r="A31" s="1378" t="s">
        <v>411</v>
      </c>
      <c r="B31" s="1379"/>
      <c r="C31" s="1379"/>
      <c r="D31" s="1379"/>
      <c r="E31" s="1379"/>
      <c r="F31" s="1380"/>
      <c r="G31" s="78"/>
      <c r="N31" s="1365"/>
      <c r="O31" s="1365"/>
      <c r="P31" s="1365"/>
    </row>
    <row r="32" spans="1:16" ht="13.95" customHeight="1">
      <c r="A32" s="1381"/>
      <c r="B32" s="1382"/>
      <c r="C32" s="1382"/>
      <c r="D32" s="1382"/>
      <c r="E32" s="1382"/>
      <c r="F32" s="1383"/>
      <c r="G32" s="78"/>
      <c r="H32"/>
      <c r="N32" s="42"/>
      <c r="O32" s="42"/>
      <c r="P32" s="42"/>
    </row>
    <row r="33" spans="1:11" customFormat="1" ht="15" customHeight="1" thickBot="1">
      <c r="A33" s="1169" t="s">
        <v>276</v>
      </c>
      <c r="B33" s="1170"/>
      <c r="C33" s="1170"/>
      <c r="D33" s="1170"/>
      <c r="E33" s="1170"/>
      <c r="F33" s="1171"/>
      <c r="G33" s="78"/>
    </row>
    <row r="34" spans="1:11" customFormat="1" ht="15" customHeight="1">
      <c r="A34" s="1217"/>
      <c r="B34" s="1219"/>
      <c r="C34" s="1357" t="s">
        <v>128</v>
      </c>
      <c r="D34" s="1081"/>
      <c r="E34" s="1357" t="s">
        <v>306</v>
      </c>
      <c r="F34" s="1081"/>
      <c r="G34" s="60"/>
    </row>
    <row r="35" spans="1:11" customFormat="1" ht="24" customHeight="1" thickBot="1">
      <c r="A35" s="1220"/>
      <c r="B35" s="1222"/>
      <c r="C35" s="1358">
        <v>40999</v>
      </c>
      <c r="D35" s="1354"/>
      <c r="E35" s="1353" t="str">
        <f>'Løntabel gældende fra'!D1</f>
        <v>01-08-2026</v>
      </c>
      <c r="F35" s="1354"/>
      <c r="G35" s="60"/>
    </row>
    <row r="36" spans="1:11" customFormat="1" ht="24" customHeight="1" thickBot="1">
      <c r="A36" s="1391" t="s">
        <v>112</v>
      </c>
      <c r="B36" s="1392"/>
      <c r="C36" s="1389" t="s">
        <v>234</v>
      </c>
      <c r="D36" s="1390"/>
      <c r="E36" s="1377" t="s">
        <v>234</v>
      </c>
      <c r="F36" s="1356"/>
      <c r="G36" s="60"/>
    </row>
    <row r="37" spans="1:11" customFormat="1" ht="22.05" customHeight="1">
      <c r="A37" s="1399" t="s">
        <v>389</v>
      </c>
      <c r="B37" s="1400"/>
      <c r="C37" s="1403">
        <v>353412</v>
      </c>
      <c r="D37" s="1404"/>
      <c r="E37" s="1403">
        <f>C37+C37*'Løntabel gældende fra'!$D$7%</f>
        <v>449965.572048</v>
      </c>
      <c r="F37" s="1404"/>
      <c r="G37" s="53"/>
      <c r="H37" s="65"/>
    </row>
    <row r="38" spans="1:11" s="57" customFormat="1" ht="22.95" customHeight="1" thickBot="1">
      <c r="A38" s="1401" t="s">
        <v>115</v>
      </c>
      <c r="B38" s="1402"/>
      <c r="C38" s="1416">
        <v>396929</v>
      </c>
      <c r="D38" s="1417"/>
      <c r="E38" s="1427">
        <f>C38+C38*'Løntabel gældende fra'!$D$7%</f>
        <v>505371.590516</v>
      </c>
      <c r="F38" s="1428"/>
      <c r="G38" s="53"/>
      <c r="H38" s="65"/>
      <c r="I38" s="65"/>
      <c r="J38" s="65"/>
      <c r="K38" s="65"/>
    </row>
    <row r="39" spans="1:11" s="57" customFormat="1" ht="7.05" customHeight="1">
      <c r="A39" s="1429"/>
      <c r="B39" s="1429"/>
      <c r="C39" s="1429"/>
      <c r="D39" s="1429"/>
      <c r="E39" s="1429"/>
      <c r="F39" s="116"/>
      <c r="G39" s="65"/>
      <c r="H39" s="65"/>
      <c r="I39" s="65"/>
      <c r="J39" s="65"/>
      <c r="K39" s="65"/>
    </row>
    <row r="40" spans="1:11" s="57" customFormat="1" ht="19.95" customHeight="1" thickBot="1">
      <c r="A40" s="595"/>
      <c r="B40" s="596"/>
      <c r="C40" s="595"/>
      <c r="D40" s="597"/>
      <c r="E40" s="597"/>
      <c r="F40" s="597"/>
      <c r="G40" s="65"/>
      <c r="H40" s="65"/>
      <c r="I40" s="65"/>
      <c r="J40" s="65"/>
      <c r="K40" s="65"/>
    </row>
    <row r="41" spans="1:11" s="57" customFormat="1" ht="21.6" thickBot="1">
      <c r="A41" s="1418" t="s">
        <v>160</v>
      </c>
      <c r="B41" s="1419"/>
      <c r="C41" s="1419"/>
      <c r="D41" s="1419"/>
      <c r="E41" s="1419"/>
      <c r="F41" s="1419"/>
      <c r="G41" s="1420"/>
      <c r="H41" s="65"/>
      <c r="I41" s="65"/>
      <c r="J41" s="65"/>
      <c r="K41" s="65"/>
    </row>
    <row r="42" spans="1:11" s="57" customFormat="1" ht="49.95" customHeight="1">
      <c r="A42" s="1117" t="s">
        <v>412</v>
      </c>
      <c r="B42" s="1421" t="s">
        <v>420</v>
      </c>
      <c r="C42" s="1422"/>
      <c r="D42" s="1423"/>
      <c r="E42" s="314" t="s">
        <v>128</v>
      </c>
      <c r="F42" s="589" t="s">
        <v>306</v>
      </c>
      <c r="G42" s="507"/>
      <c r="H42" s="65"/>
      <c r="I42" s="65"/>
      <c r="J42" s="65"/>
      <c r="K42" s="65"/>
    </row>
    <row r="43" spans="1:11" s="57" customFormat="1" ht="33" customHeight="1" thickBot="1">
      <c r="A43" s="1118"/>
      <c r="B43" s="1424"/>
      <c r="C43" s="1425"/>
      <c r="D43" s="1426"/>
      <c r="E43" s="701">
        <v>40999</v>
      </c>
      <c r="F43" s="702" t="str">
        <f>'Løntabel gældende fra'!$D$1</f>
        <v>01-08-2026</v>
      </c>
      <c r="G43" s="508"/>
      <c r="H43" s="65"/>
      <c r="I43" s="65"/>
      <c r="J43" s="65"/>
      <c r="K43" s="65"/>
    </row>
    <row r="44" spans="1:11" s="57" customFormat="1" ht="34.049999999999997" customHeight="1" thickBot="1">
      <c r="A44" s="1232"/>
      <c r="B44" s="1396" t="s">
        <v>419</v>
      </c>
      <c r="C44" s="1397"/>
      <c r="D44" s="1398"/>
      <c r="E44" s="510">
        <v>130000</v>
      </c>
      <c r="F44" s="511">
        <f>E44+E44*'Løntabel gældende fra'!$D$7%</f>
        <v>165516.51999999999</v>
      </c>
      <c r="G44" s="509"/>
      <c r="H44" s="65"/>
      <c r="I44" s="65"/>
      <c r="J44" s="65"/>
      <c r="K44" s="65"/>
    </row>
    <row r="45" spans="1:11" s="57" customFormat="1" ht="21" thickBot="1">
      <c r="A45" s="199" t="s">
        <v>413</v>
      </c>
      <c r="B45" s="1393" t="s">
        <v>390</v>
      </c>
      <c r="C45" s="1394"/>
      <c r="D45" s="1394"/>
      <c r="E45" s="1394"/>
      <c r="F45" s="1394"/>
      <c r="G45" s="1395"/>
      <c r="H45" s="75"/>
      <c r="I45" s="65"/>
      <c r="J45" s="65"/>
      <c r="K45" s="65"/>
    </row>
    <row r="46" spans="1:11" s="57" customFormat="1" ht="21" thickBot="1">
      <c r="A46" s="1352"/>
      <c r="B46" s="1352"/>
      <c r="C46" s="1352"/>
      <c r="D46" s="1352"/>
      <c r="E46" s="1352"/>
      <c r="F46" s="1352"/>
      <c r="G46" s="961"/>
      <c r="H46" s="75"/>
      <c r="I46" s="65"/>
      <c r="J46" s="65"/>
      <c r="K46" s="65"/>
    </row>
    <row r="47" spans="1:11" ht="21" customHeight="1">
      <c r="A47" s="1166" t="s">
        <v>547</v>
      </c>
      <c r="B47" s="1167"/>
      <c r="C47" s="1167"/>
      <c r="D47" s="1167"/>
      <c r="E47" s="1167"/>
      <c r="F47" s="1168"/>
      <c r="G47" s="962"/>
    </row>
    <row r="48" spans="1:11" ht="21" customHeight="1">
      <c r="A48" s="1346" t="s">
        <v>542</v>
      </c>
      <c r="B48" s="1347"/>
      <c r="C48" s="1347"/>
      <c r="D48" s="1347"/>
      <c r="E48" s="1347"/>
      <c r="F48" s="1348"/>
      <c r="G48" s="963"/>
    </row>
    <row r="49" spans="1:9" s="57" customFormat="1" ht="21" customHeight="1" thickBot="1">
      <c r="A49" s="1349" t="s">
        <v>545</v>
      </c>
      <c r="B49" s="1350"/>
      <c r="C49" s="1350"/>
      <c r="D49" s="1350"/>
      <c r="E49" s="1350"/>
      <c r="F49" s="1351"/>
      <c r="G49" s="964"/>
    </row>
    <row r="50" spans="1:9" s="57" customFormat="1" ht="25.95" customHeight="1" thickBot="1">
      <c r="B50" s="71"/>
      <c r="D50" s="115"/>
      <c r="E50" s="115"/>
      <c r="F50" s="115"/>
      <c r="G50" s="65"/>
      <c r="H50" s="76"/>
      <c r="I50" s="2"/>
    </row>
    <row r="51" spans="1:9" s="57" customFormat="1" ht="31.95" customHeight="1">
      <c r="A51" s="1378" t="s">
        <v>429</v>
      </c>
      <c r="B51" s="1379"/>
      <c r="C51" s="1379"/>
      <c r="D51" s="1379"/>
      <c r="E51" s="1379"/>
      <c r="F51" s="1379"/>
      <c r="G51" s="1380"/>
      <c r="H51" s="76"/>
      <c r="I51" s="2"/>
    </row>
    <row r="52" spans="1:9" s="57" customFormat="1" ht="30" customHeight="1" thickBot="1">
      <c r="A52" s="1315" t="str">
        <f>'Løntabel gældende fra'!$D$1</f>
        <v>01-08-2026</v>
      </c>
      <c r="B52" s="1316"/>
      <c r="C52" s="1316"/>
      <c r="D52" s="1316"/>
      <c r="E52" s="1316"/>
      <c r="F52" s="1316"/>
      <c r="G52" s="1431"/>
      <c r="H52" s="76"/>
    </row>
    <row r="53" spans="1:9" s="57" customFormat="1" ht="46.95" customHeight="1">
      <c r="A53" s="1385" t="s">
        <v>85</v>
      </c>
      <c r="B53" s="1386"/>
      <c r="C53" s="1386"/>
      <c r="D53" s="1386"/>
      <c r="E53" s="1386"/>
      <c r="F53" s="1387"/>
      <c r="G53" s="875"/>
      <c r="H53" s="76"/>
    </row>
    <row r="54" spans="1:9" s="57" customFormat="1" ht="13.95" customHeight="1">
      <c r="A54" s="1435" t="s">
        <v>431</v>
      </c>
      <c r="B54" s="1436"/>
      <c r="C54" s="1436"/>
      <c r="D54" s="1436"/>
      <c r="E54" s="1436"/>
      <c r="F54" s="1437"/>
      <c r="G54" s="876"/>
      <c r="H54" s="76"/>
    </row>
    <row r="55" spans="1:9" s="57" customFormat="1" ht="13.95" customHeight="1">
      <c r="A55" s="1388" t="s">
        <v>430</v>
      </c>
      <c r="B55" s="1388"/>
      <c r="C55" s="1388"/>
      <c r="D55" s="1388"/>
      <c r="E55" s="1388"/>
      <c r="F55" s="1388"/>
      <c r="G55" s="876"/>
      <c r="H55" s="76"/>
    </row>
    <row r="56" spans="1:9" s="57" customFormat="1" ht="13.95" customHeight="1">
      <c r="A56" s="1432" t="s">
        <v>122</v>
      </c>
      <c r="B56" s="1432"/>
      <c r="C56" s="1432"/>
      <c r="D56" s="1432"/>
      <c r="E56" s="1432"/>
      <c r="F56" s="1432"/>
      <c r="G56" s="1432"/>
      <c r="H56" s="76"/>
    </row>
    <row r="57" spans="1:9" s="57" customFormat="1" ht="13.95" customHeight="1">
      <c r="A57" s="80"/>
      <c r="B57" s="80"/>
      <c r="C57" s="80"/>
      <c r="D57" s="80"/>
      <c r="E57" s="80"/>
      <c r="F57" s="80"/>
      <c r="G57" s="80"/>
      <c r="H57" s="76"/>
    </row>
    <row r="58" spans="1:9" s="57" customFormat="1" ht="13.95" customHeight="1">
      <c r="A58" s="1388" t="s">
        <v>123</v>
      </c>
      <c r="B58" s="1433" t="s">
        <v>555</v>
      </c>
      <c r="C58" s="1433"/>
      <c r="D58" s="1433"/>
      <c r="E58" s="1433"/>
      <c r="F58" s="1433"/>
      <c r="G58" s="1433"/>
      <c r="H58" s="76"/>
    </row>
    <row r="59" spans="1:9" s="57" customFormat="1" ht="13.95" customHeight="1">
      <c r="A59" s="1388"/>
      <c r="B59" s="79" t="s">
        <v>562</v>
      </c>
      <c r="C59" s="495"/>
      <c r="D59" s="495"/>
      <c r="E59" s="495"/>
      <c r="F59" s="495"/>
      <c r="G59" s="495"/>
      <c r="H59" s="76"/>
    </row>
    <row r="60" spans="1:9" s="57" customFormat="1" ht="13.95" customHeight="1">
      <c r="A60" s="1388"/>
      <c r="B60" s="1433" t="s">
        <v>563</v>
      </c>
      <c r="C60" s="1433"/>
      <c r="D60" s="1433"/>
      <c r="E60" s="1433"/>
      <c r="F60" s="1433"/>
      <c r="G60" s="1433"/>
      <c r="H60" s="76"/>
    </row>
    <row r="61" spans="1:9" s="57" customFormat="1" ht="13.95" customHeight="1">
      <c r="A61" s="81"/>
      <c r="B61" s="1433"/>
      <c r="C61" s="1433"/>
      <c r="D61" s="1433"/>
      <c r="E61" s="1433"/>
      <c r="F61" s="1433"/>
      <c r="G61" s="1433"/>
      <c r="H61" s="76"/>
    </row>
    <row r="62" spans="1:9" s="57" customFormat="1" ht="13.95" customHeight="1">
      <c r="A62" s="81"/>
      <c r="B62" s="495"/>
      <c r="C62" s="495"/>
      <c r="D62" s="495"/>
      <c r="E62" s="495"/>
      <c r="F62" s="495"/>
      <c r="G62" s="495"/>
      <c r="H62" s="76"/>
    </row>
    <row r="63" spans="1:9" s="57" customFormat="1" ht="16.95" customHeight="1">
      <c r="A63" s="1388" t="s">
        <v>124</v>
      </c>
      <c r="B63" s="1433" t="s">
        <v>556</v>
      </c>
      <c r="C63" s="1433"/>
      <c r="D63" s="1433"/>
      <c r="E63" s="1433"/>
      <c r="F63" s="1433"/>
      <c r="G63" s="1433"/>
      <c r="H63" s="76"/>
    </row>
    <row r="64" spans="1:9" ht="18" customHeight="1">
      <c r="A64" s="1388"/>
      <c r="B64" s="79" t="s">
        <v>564</v>
      </c>
      <c r="C64" s="495"/>
      <c r="D64" s="495"/>
      <c r="E64" s="495"/>
      <c r="F64" s="495"/>
      <c r="G64" s="495"/>
      <c r="H64" s="76"/>
      <c r="I64" s="57"/>
    </row>
    <row r="65" spans="1:9" ht="18" customHeight="1">
      <c r="A65" s="1388"/>
      <c r="B65" s="1433" t="s">
        <v>565</v>
      </c>
      <c r="C65" s="1433"/>
      <c r="D65" s="1433"/>
      <c r="E65" s="1433"/>
      <c r="F65" s="1433"/>
      <c r="G65" s="1433"/>
      <c r="H65" s="76"/>
      <c r="I65" s="57"/>
    </row>
    <row r="66" spans="1:9" ht="19.05" customHeight="1">
      <c r="A66" s="81"/>
      <c r="B66" s="1433"/>
      <c r="C66" s="1433"/>
      <c r="D66" s="1433"/>
      <c r="E66" s="1433"/>
      <c r="F66" s="1433"/>
      <c r="G66" s="1433"/>
      <c r="I66" s="57"/>
    </row>
    <row r="67" spans="1:9" ht="13.95" customHeight="1" thickBot="1">
      <c r="A67" s="65"/>
      <c r="B67" s="65"/>
      <c r="C67" s="65"/>
      <c r="D67" s="65"/>
      <c r="E67" s="65"/>
      <c r="F67" s="65"/>
      <c r="G67" s="65"/>
    </row>
    <row r="68" spans="1:9">
      <c r="A68" s="1117" t="s">
        <v>57</v>
      </c>
      <c r="B68" s="1157" t="s">
        <v>23</v>
      </c>
      <c r="C68" s="1194"/>
      <c r="D68" s="1157" t="s">
        <v>24</v>
      </c>
      <c r="E68" s="1194"/>
      <c r="F68" s="579" t="s">
        <v>309</v>
      </c>
      <c r="G68" s="1117" t="s">
        <v>92</v>
      </c>
    </row>
    <row r="69" spans="1:9" ht="14.4" thickBot="1">
      <c r="A69" s="1118"/>
      <c r="B69" s="582">
        <v>40999</v>
      </c>
      <c r="C69" s="583"/>
      <c r="D69" s="1107" t="str">
        <f>'Løntabel gældende fra'!$D$1</f>
        <v>01-08-2026</v>
      </c>
      <c r="E69" s="1434"/>
      <c r="F69" s="580" t="str">
        <f>'Løntabel gældende fra'!$D$1</f>
        <v>01-08-2026</v>
      </c>
      <c r="G69" s="1118"/>
      <c r="H69" s="45"/>
    </row>
    <row r="70" spans="1:9" ht="14.4" thickBot="1">
      <c r="A70" s="1118"/>
      <c r="B70" s="584" t="s">
        <v>83</v>
      </c>
      <c r="C70" s="581" t="s">
        <v>158</v>
      </c>
      <c r="D70" s="308" t="s">
        <v>83</v>
      </c>
      <c r="E70" s="392" t="s">
        <v>158</v>
      </c>
      <c r="F70" s="392" t="s">
        <v>158</v>
      </c>
      <c r="G70" s="313">
        <v>0.15</v>
      </c>
    </row>
    <row r="71" spans="1:9">
      <c r="A71" s="341">
        <v>31</v>
      </c>
      <c r="B71" s="406">
        <f>+'Statens skalatrin'!N96</f>
        <v>290512.64000000001</v>
      </c>
      <c r="C71" s="406">
        <f>ROUND(B71/12,2)</f>
        <v>24209.39</v>
      </c>
      <c r="D71" s="407">
        <f>ROUND(B71*(1+'Løntabel gældende fra'!$D$7/100),0)</f>
        <v>369882</v>
      </c>
      <c r="E71" s="815">
        <f>ROUND(D71/12,2)</f>
        <v>30823.5</v>
      </c>
      <c r="F71" s="816">
        <f>ROUND(E71*15%,2)</f>
        <v>4623.53</v>
      </c>
      <c r="G71" s="408">
        <f>F71*$G$70</f>
        <v>693.52949999999998</v>
      </c>
    </row>
    <row r="72" spans="1:9">
      <c r="A72" s="402">
        <v>32</v>
      </c>
      <c r="B72" s="175">
        <f>+'Statens skalatrin'!N99</f>
        <v>296125.21000000002</v>
      </c>
      <c r="C72" s="587">
        <f t="shared" ref="C72:C90" si="0">ROUND(B72/12,2)</f>
        <v>24677.1</v>
      </c>
      <c r="D72" s="585">
        <f>ROUND(B72*(1+'Løntabel gældende fra'!$D$7/100),0)</f>
        <v>377028</v>
      </c>
      <c r="E72" s="817">
        <f t="shared" ref="E72:E90" si="1">ROUND(D72/12,2)</f>
        <v>31419</v>
      </c>
      <c r="F72" s="808">
        <f t="shared" ref="F72:F90" si="2">ROUND(E72*15%,2)</f>
        <v>4712.8500000000004</v>
      </c>
      <c r="G72" s="174">
        <f t="shared" ref="G72:G90" si="3">F72*$G$70</f>
        <v>706.92750000000001</v>
      </c>
    </row>
    <row r="73" spans="1:9">
      <c r="A73" s="402">
        <v>33</v>
      </c>
      <c r="B73" s="175">
        <f>+'Statens skalatrin'!N102</f>
        <v>301881.8</v>
      </c>
      <c r="C73" s="587">
        <f t="shared" si="0"/>
        <v>25156.82</v>
      </c>
      <c r="D73" s="585">
        <f>ROUND(B73*(1+'Løntabel gældende fra'!$D$7/100),0)</f>
        <v>384357</v>
      </c>
      <c r="E73" s="817">
        <f t="shared" si="1"/>
        <v>32029.75</v>
      </c>
      <c r="F73" s="808">
        <f t="shared" si="2"/>
        <v>4804.46</v>
      </c>
      <c r="G73" s="174">
        <f t="shared" si="3"/>
        <v>720.66899999999998</v>
      </c>
    </row>
    <row r="74" spans="1:9">
      <c r="A74" s="402">
        <v>34</v>
      </c>
      <c r="B74" s="175">
        <f>+'Statens skalatrin'!N105</f>
        <v>307790.62</v>
      </c>
      <c r="C74" s="587">
        <f t="shared" si="0"/>
        <v>25649.22</v>
      </c>
      <c r="D74" s="585">
        <f>ROUND(B74*(1+'Løntabel gældende fra'!$D$7/100),0)</f>
        <v>391880</v>
      </c>
      <c r="E74" s="817">
        <f t="shared" si="1"/>
        <v>32656.67</v>
      </c>
      <c r="F74" s="808">
        <f t="shared" si="2"/>
        <v>4898.5</v>
      </c>
      <c r="G74" s="174">
        <f t="shared" si="3"/>
        <v>734.77499999999998</v>
      </c>
    </row>
    <row r="75" spans="1:9">
      <c r="A75" s="402">
        <v>35</v>
      </c>
      <c r="B75" s="175">
        <f>+'Statens skalatrin'!N108</f>
        <v>313854.56</v>
      </c>
      <c r="C75" s="587">
        <f t="shared" si="0"/>
        <v>26154.55</v>
      </c>
      <c r="D75" s="585">
        <f>ROUND(B75*(1+'Løntabel gældende fra'!$D$7/100),0)</f>
        <v>399601</v>
      </c>
      <c r="E75" s="817">
        <f t="shared" si="1"/>
        <v>33300.080000000002</v>
      </c>
      <c r="F75" s="808">
        <f t="shared" si="2"/>
        <v>4995.01</v>
      </c>
      <c r="G75" s="174">
        <f t="shared" si="3"/>
        <v>749.25149999999996</v>
      </c>
    </row>
    <row r="76" spans="1:9">
      <c r="A76" s="402">
        <v>36</v>
      </c>
      <c r="B76" s="175">
        <f>+'Statens skalatrin'!N111</f>
        <v>320074.68</v>
      </c>
      <c r="C76" s="587">
        <f t="shared" si="0"/>
        <v>26672.89</v>
      </c>
      <c r="D76" s="585">
        <f>ROUND(B76*(1+'Løntabel gældende fra'!$D$7/100),0)</f>
        <v>407520</v>
      </c>
      <c r="E76" s="817">
        <f t="shared" si="1"/>
        <v>33960</v>
      </c>
      <c r="F76" s="808">
        <f t="shared" si="2"/>
        <v>5094</v>
      </c>
      <c r="G76" s="174">
        <f t="shared" si="3"/>
        <v>764.1</v>
      </c>
    </row>
    <row r="77" spans="1:9">
      <c r="A77" s="402">
        <v>37</v>
      </c>
      <c r="B77" s="175">
        <f>+'Statens skalatrin'!N114</f>
        <v>326457.34000000003</v>
      </c>
      <c r="C77" s="587">
        <f t="shared" si="0"/>
        <v>27204.78</v>
      </c>
      <c r="D77" s="585">
        <f>ROUND(B77*(1+'Løntabel gældende fra'!$D$7/100),0)</f>
        <v>415647</v>
      </c>
      <c r="E77" s="817">
        <f t="shared" si="1"/>
        <v>34637.25</v>
      </c>
      <c r="F77" s="808">
        <f t="shared" si="2"/>
        <v>5195.59</v>
      </c>
      <c r="G77" s="174">
        <f t="shared" si="3"/>
        <v>779.33849999999995</v>
      </c>
    </row>
    <row r="78" spans="1:9">
      <c r="A78" s="402">
        <v>38</v>
      </c>
      <c r="B78" s="175">
        <f>+'Statens skalatrin'!N117</f>
        <v>333128.88</v>
      </c>
      <c r="C78" s="587">
        <f t="shared" si="0"/>
        <v>27760.74</v>
      </c>
      <c r="D78" s="585">
        <f>ROUND(B78*(1+'Løntabel gældende fra'!$D$7/100),0)</f>
        <v>424141</v>
      </c>
      <c r="E78" s="817">
        <f t="shared" si="1"/>
        <v>35345.08</v>
      </c>
      <c r="F78" s="808">
        <f t="shared" si="2"/>
        <v>5301.76</v>
      </c>
      <c r="G78" s="174">
        <f t="shared" si="3"/>
        <v>795.26400000000001</v>
      </c>
    </row>
    <row r="79" spans="1:9">
      <c r="A79" s="402">
        <v>39</v>
      </c>
      <c r="B79" s="175">
        <f>+'Statens skalatrin'!N120</f>
        <v>339989.41</v>
      </c>
      <c r="C79" s="587">
        <f t="shared" si="0"/>
        <v>28332.45</v>
      </c>
      <c r="D79" s="585">
        <f>ROUND(B79*(1+'Løntabel gældende fra'!$D$7/100),0)</f>
        <v>432876</v>
      </c>
      <c r="E79" s="817">
        <f t="shared" si="1"/>
        <v>36073</v>
      </c>
      <c r="F79" s="808">
        <f t="shared" si="2"/>
        <v>5410.95</v>
      </c>
      <c r="G79" s="174">
        <f t="shared" si="3"/>
        <v>811.64249999999993</v>
      </c>
    </row>
    <row r="80" spans="1:9">
      <c r="A80" s="402">
        <v>40</v>
      </c>
      <c r="B80" s="175">
        <f>+'Statens skalatrin'!N123</f>
        <v>347027.46</v>
      </c>
      <c r="C80" s="587">
        <f t="shared" si="0"/>
        <v>28918.959999999999</v>
      </c>
      <c r="D80" s="585">
        <f>ROUND(B80*(1+'Løntabel gældende fra'!$D$7/100),0)</f>
        <v>441837</v>
      </c>
      <c r="E80" s="817">
        <f t="shared" si="1"/>
        <v>36819.75</v>
      </c>
      <c r="F80" s="808">
        <f t="shared" si="2"/>
        <v>5522.96</v>
      </c>
      <c r="G80" s="174">
        <f t="shared" si="3"/>
        <v>828.44399999999996</v>
      </c>
    </row>
    <row r="81" spans="1:9">
      <c r="A81" s="402">
        <v>41</v>
      </c>
      <c r="B81" s="175">
        <f>+'Statens skalatrin'!N126</f>
        <v>354249.23</v>
      </c>
      <c r="C81" s="587">
        <f t="shared" si="0"/>
        <v>29520.77</v>
      </c>
      <c r="D81" s="585">
        <f>ROUND(B81*(1+'Løntabel gældende fra'!$D$7/100),0)</f>
        <v>451032</v>
      </c>
      <c r="E81" s="817">
        <f t="shared" si="1"/>
        <v>37586</v>
      </c>
      <c r="F81" s="808">
        <f t="shared" si="2"/>
        <v>5637.9</v>
      </c>
      <c r="G81" s="174">
        <f t="shared" si="3"/>
        <v>845.68499999999995</v>
      </c>
    </row>
    <row r="82" spans="1:9" s="57" customFormat="1">
      <c r="A82" s="402">
        <v>42</v>
      </c>
      <c r="B82" s="175">
        <f>+'Statens skalatrin'!N129</f>
        <v>361659.2</v>
      </c>
      <c r="C82" s="587">
        <f t="shared" si="0"/>
        <v>30138.27</v>
      </c>
      <c r="D82" s="585">
        <f>ROUND(B82*(1+'Løntabel gældende fra'!$D$7/100),0)</f>
        <v>460466</v>
      </c>
      <c r="E82" s="817">
        <f t="shared" si="1"/>
        <v>38372.17</v>
      </c>
      <c r="F82" s="808">
        <f t="shared" si="2"/>
        <v>5755.83</v>
      </c>
      <c r="G82" s="174">
        <f t="shared" si="3"/>
        <v>863.37450000000001</v>
      </c>
      <c r="H82" s="2"/>
      <c r="I82" s="2"/>
    </row>
    <row r="83" spans="1:9" s="57" customFormat="1">
      <c r="A83" s="402">
        <v>43</v>
      </c>
      <c r="B83" s="175">
        <f>+'Statens skalatrin'!N132</f>
        <v>369688.53</v>
      </c>
      <c r="C83" s="587">
        <f t="shared" si="0"/>
        <v>30807.38</v>
      </c>
      <c r="D83" s="585">
        <f>ROUND(B83*(1+'Løntabel gældende fra'!$D$7/100),0)</f>
        <v>470689</v>
      </c>
      <c r="E83" s="817">
        <f t="shared" si="1"/>
        <v>39224.080000000002</v>
      </c>
      <c r="F83" s="808">
        <f t="shared" si="2"/>
        <v>5883.61</v>
      </c>
      <c r="G83" s="174">
        <f t="shared" si="3"/>
        <v>882.54149999999993</v>
      </c>
      <c r="H83" s="2"/>
      <c r="I83" s="2"/>
    </row>
    <row r="84" spans="1:9" s="57" customFormat="1">
      <c r="A84" s="402">
        <v>44</v>
      </c>
      <c r="B84" s="175">
        <f>+'Statens skalatrin'!N135</f>
        <v>377937.3</v>
      </c>
      <c r="C84" s="587">
        <f t="shared" si="0"/>
        <v>31494.78</v>
      </c>
      <c r="D84" s="585">
        <f>ROUND(B84*(1+'Løntabel gældende fra'!$D$7/100),0)</f>
        <v>481191</v>
      </c>
      <c r="E84" s="817">
        <f t="shared" si="1"/>
        <v>40099.25</v>
      </c>
      <c r="F84" s="808">
        <f t="shared" si="2"/>
        <v>6014.89</v>
      </c>
      <c r="G84" s="174">
        <f t="shared" si="3"/>
        <v>902.23350000000005</v>
      </c>
      <c r="I84" s="2"/>
    </row>
    <row r="85" spans="1:9">
      <c r="A85" s="402">
        <v>45</v>
      </c>
      <c r="B85" s="175">
        <f>+'Statens skalatrin'!N138</f>
        <v>386414.29</v>
      </c>
      <c r="C85" s="587">
        <f t="shared" si="0"/>
        <v>32201.19</v>
      </c>
      <c r="D85" s="585">
        <f>ROUND(B85*(1+'Løntabel gældende fra'!$D$7/100),0)</f>
        <v>491984</v>
      </c>
      <c r="E85" s="817">
        <f t="shared" si="1"/>
        <v>40998.67</v>
      </c>
      <c r="F85" s="808">
        <f t="shared" si="2"/>
        <v>6149.8</v>
      </c>
      <c r="G85" s="174">
        <f t="shared" si="3"/>
        <v>922.47</v>
      </c>
      <c r="H85" s="57"/>
      <c r="I85" s="57"/>
    </row>
    <row r="86" spans="1:9" ht="15" customHeight="1">
      <c r="A86" s="402">
        <v>46</v>
      </c>
      <c r="B86" s="175">
        <f>+'Statens skalatrin'!N141</f>
        <v>395124.74</v>
      </c>
      <c r="C86" s="587">
        <f t="shared" si="0"/>
        <v>32927.06</v>
      </c>
      <c r="D86" s="585">
        <f>ROUND(B86*(1+'Løntabel gældende fra'!$D$7/100),0)</f>
        <v>503074</v>
      </c>
      <c r="E86" s="817">
        <f t="shared" si="1"/>
        <v>41922.83</v>
      </c>
      <c r="F86" s="808">
        <f t="shared" si="2"/>
        <v>6288.42</v>
      </c>
      <c r="G86" s="174">
        <f t="shared" si="3"/>
        <v>943.26299999999992</v>
      </c>
      <c r="H86" s="57"/>
      <c r="I86" s="57"/>
    </row>
    <row r="87" spans="1:9" ht="16.05" customHeight="1">
      <c r="A87" s="402">
        <v>47</v>
      </c>
      <c r="B87" s="175">
        <f>+'Statens skalatrin'!N144</f>
        <v>413268.87</v>
      </c>
      <c r="C87" s="587">
        <f t="shared" si="0"/>
        <v>34439.07</v>
      </c>
      <c r="D87" s="585">
        <f>ROUND(B87*(1+'Løntabel gældende fra'!$D$7/100),0)</f>
        <v>526176</v>
      </c>
      <c r="E87" s="817">
        <f t="shared" si="1"/>
        <v>43848</v>
      </c>
      <c r="F87" s="808">
        <f t="shared" si="2"/>
        <v>6577.2</v>
      </c>
      <c r="G87" s="174">
        <f t="shared" si="3"/>
        <v>986.57999999999993</v>
      </c>
      <c r="I87" s="57"/>
    </row>
    <row r="88" spans="1:9" s="57" customFormat="1" ht="18" customHeight="1">
      <c r="A88" s="402">
        <v>48</v>
      </c>
      <c r="B88" s="587">
        <f>+'Statens skalatrin'!N147</f>
        <v>441025.75</v>
      </c>
      <c r="C88" s="587">
        <f t="shared" si="0"/>
        <v>36752.15</v>
      </c>
      <c r="D88" s="585">
        <f>ROUND(B88*(1+'Løntabel gældende fra'!$D$7/100),0)</f>
        <v>561516</v>
      </c>
      <c r="E88" s="817">
        <f t="shared" si="1"/>
        <v>46793</v>
      </c>
      <c r="F88" s="808">
        <f t="shared" si="2"/>
        <v>7018.95</v>
      </c>
      <c r="G88" s="174">
        <f t="shared" si="3"/>
        <v>1052.8425</v>
      </c>
      <c r="H88" s="2"/>
      <c r="I88" s="2"/>
    </row>
    <row r="89" spans="1:9" s="57" customFormat="1" ht="15" customHeight="1">
      <c r="A89" s="402">
        <v>49</v>
      </c>
      <c r="B89" s="175">
        <f>+'Statens skalatrin'!N150</f>
        <v>471780.9</v>
      </c>
      <c r="C89" s="587">
        <f t="shared" si="0"/>
        <v>39315.08</v>
      </c>
      <c r="D89" s="585">
        <f>ROUND(B89*(1+'Løntabel gældende fra'!$D$7/100),0)</f>
        <v>600673</v>
      </c>
      <c r="E89" s="817">
        <f t="shared" si="1"/>
        <v>50056.08</v>
      </c>
      <c r="F89" s="808">
        <f t="shared" si="2"/>
        <v>7508.41</v>
      </c>
      <c r="G89" s="174">
        <f t="shared" si="3"/>
        <v>1126.2614999999998</v>
      </c>
      <c r="H89" s="2"/>
      <c r="I89" s="2"/>
    </row>
    <row r="90" spans="1:9" ht="14.4" thickBot="1">
      <c r="A90" s="343">
        <v>50</v>
      </c>
      <c r="B90" s="159">
        <f>+'Statens skalatrin'!N153</f>
        <v>521094.47</v>
      </c>
      <c r="C90" s="588">
        <f t="shared" si="0"/>
        <v>43424.54</v>
      </c>
      <c r="D90" s="586">
        <f>ROUND(B90*(1+'Løntabel gældende fra'!$D$7/100),0)</f>
        <v>663460</v>
      </c>
      <c r="E90" s="818">
        <f t="shared" si="1"/>
        <v>55288.33</v>
      </c>
      <c r="F90" s="809">
        <f t="shared" si="2"/>
        <v>8293.25</v>
      </c>
      <c r="G90" s="338">
        <f t="shared" si="3"/>
        <v>1243.9875</v>
      </c>
      <c r="H90" s="57"/>
    </row>
    <row r="91" spans="1:9">
      <c r="A91" s="1430" t="s">
        <v>223</v>
      </c>
      <c r="B91" s="1430"/>
      <c r="C91" s="1430"/>
      <c r="D91" s="1430"/>
      <c r="E91" s="1430"/>
      <c r="F91" s="1430"/>
      <c r="G91" s="1430"/>
      <c r="H91" s="57"/>
      <c r="I91" s="57"/>
    </row>
    <row r="92" spans="1:9">
      <c r="A92" s="56"/>
      <c r="B92" s="56"/>
      <c r="C92" s="56"/>
      <c r="D92" s="56"/>
      <c r="E92" s="56"/>
      <c r="F92" s="56"/>
      <c r="G92" s="56"/>
      <c r="I92" s="57"/>
    </row>
    <row r="93" spans="1:9">
      <c r="A93" s="1376"/>
      <c r="B93" s="1376"/>
      <c r="C93" s="1376"/>
      <c r="D93" s="1376"/>
      <c r="E93" s="1376"/>
      <c r="F93" s="1376"/>
      <c r="G93" s="1376"/>
    </row>
    <row r="94" spans="1:9">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mergeCells count="73">
    <mergeCell ref="A91:G91"/>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 ref="C38:D38"/>
    <mergeCell ref="A41:G41"/>
    <mergeCell ref="A42:A44"/>
    <mergeCell ref="B42:D43"/>
    <mergeCell ref="E37:F37"/>
    <mergeCell ref="E38:F38"/>
    <mergeCell ref="A39:E39"/>
    <mergeCell ref="A15:F16"/>
    <mergeCell ref="C18:D18"/>
    <mergeCell ref="E20:F20"/>
    <mergeCell ref="A11:B11"/>
    <mergeCell ref="C9:D9"/>
    <mergeCell ref="E9:F9"/>
    <mergeCell ref="A13:B13"/>
    <mergeCell ref="A10:B10"/>
    <mergeCell ref="A12:B12"/>
    <mergeCell ref="A93:G93"/>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E7:F7"/>
    <mergeCell ref="A9:B9"/>
    <mergeCell ref="A2:F2"/>
    <mergeCell ref="A6:F6"/>
    <mergeCell ref="N4:P4"/>
    <mergeCell ref="A7:B8"/>
    <mergeCell ref="A4:F5"/>
    <mergeCell ref="C8:D8"/>
    <mergeCell ref="E8:F8"/>
    <mergeCell ref="A47:F47"/>
    <mergeCell ref="A48:F48"/>
    <mergeCell ref="A49:F49"/>
    <mergeCell ref="A46:F46"/>
    <mergeCell ref="A1:G1"/>
    <mergeCell ref="E35:F35"/>
    <mergeCell ref="A34:B35"/>
    <mergeCell ref="A17:F17"/>
    <mergeCell ref="C20:D20"/>
    <mergeCell ref="E18:F18"/>
    <mergeCell ref="C19:D19"/>
    <mergeCell ref="E19:F19"/>
    <mergeCell ref="A18:B19"/>
    <mergeCell ref="A33:F33"/>
    <mergeCell ref="E34:F34"/>
    <mergeCell ref="C7:D7"/>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9"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topLeftCell="A83" zoomScale="130" zoomScaleNormal="130" workbookViewId="0">
      <selection activeCell="A67" sqref="A67:G68"/>
    </sheetView>
  </sheetViews>
  <sheetFormatPr defaultColWidth="8.77734375" defaultRowHeight="13.8"/>
  <cols>
    <col min="1" max="1" width="10.44140625" style="2" customWidth="1"/>
    <col min="2" max="2" width="12.77734375" style="2" customWidth="1"/>
    <col min="3" max="3" width="12.6640625" style="2" customWidth="1"/>
    <col min="4" max="4" width="13.109375" style="2" customWidth="1"/>
    <col min="5" max="5" width="13.33203125" style="2" customWidth="1"/>
    <col min="6" max="6" width="11.44140625" style="2" customWidth="1"/>
    <col min="7" max="7" width="13.44140625" style="2" customWidth="1"/>
    <col min="8" max="16384" width="8.77734375" style="2"/>
  </cols>
  <sheetData>
    <row r="1" spans="1:9" ht="45" customHeight="1" thickBot="1">
      <c r="A1" s="1481" t="s">
        <v>344</v>
      </c>
      <c r="B1" s="1482"/>
      <c r="C1" s="1482"/>
      <c r="D1" s="1482"/>
      <c r="E1" s="1482"/>
      <c r="F1" s="1482"/>
      <c r="G1" s="1483"/>
      <c r="H1" s="628"/>
      <c r="I1" s="628"/>
    </row>
    <row r="2" spans="1:9" ht="19.5" customHeight="1" thickBot="1">
      <c r="A2" s="1257" t="str">
        <f>'Forside 1'!A6:I6</f>
        <v>Gældende fra 1. august 2026</v>
      </c>
      <c r="B2" s="1258"/>
      <c r="C2" s="1258"/>
      <c r="D2" s="1258"/>
      <c r="E2" s="1258"/>
      <c r="F2" s="1258"/>
      <c r="G2" s="1259"/>
    </row>
    <row r="3" spans="1:9" ht="11.25" customHeight="1" thickBot="1">
      <c r="A3" s="611"/>
      <c r="B3" s="611"/>
      <c r="C3" s="611"/>
      <c r="D3" s="611"/>
    </row>
    <row r="4" spans="1:9" s="612" customFormat="1" ht="21.75" customHeight="1" thickBot="1">
      <c r="A4" s="1650" t="s">
        <v>343</v>
      </c>
      <c r="B4" s="1651"/>
      <c r="C4" s="1651"/>
      <c r="D4" s="1651"/>
      <c r="E4" s="1651"/>
      <c r="F4" s="1651"/>
      <c r="G4" s="1652"/>
      <c r="H4" s="595"/>
    </row>
    <row r="5" spans="1:9" ht="8.25" customHeight="1" thickBot="1">
      <c r="A5" s="1653"/>
      <c r="B5" s="1653"/>
      <c r="C5" s="1653"/>
      <c r="D5" s="1653"/>
      <c r="E5" s="1653"/>
      <c r="F5" s="1653"/>
      <c r="G5" s="1653"/>
      <c r="H5" s="57"/>
    </row>
    <row r="6" spans="1:9" ht="16.5" customHeight="1">
      <c r="A6" s="1484" t="s">
        <v>234</v>
      </c>
      <c r="B6" s="1485"/>
      <c r="C6" s="1485"/>
      <c r="D6" s="1485"/>
      <c r="E6" s="1485"/>
      <c r="F6" s="1485"/>
      <c r="G6" s="1486"/>
      <c r="H6" s="200"/>
    </row>
    <row r="7" spans="1:9" ht="18.75" customHeight="1" thickBot="1">
      <c r="A7" s="1487" t="s">
        <v>469</v>
      </c>
      <c r="B7" s="1488"/>
      <c r="C7" s="1488"/>
      <c r="D7" s="1488"/>
      <c r="E7" s="1488"/>
      <c r="F7" s="1488"/>
      <c r="G7" s="1489"/>
      <c r="H7" s="629"/>
    </row>
    <row r="8" spans="1:9" ht="15" customHeight="1">
      <c r="A8" s="1502" t="s">
        <v>342</v>
      </c>
      <c r="B8" s="1455"/>
      <c r="C8" s="1479" t="s">
        <v>128</v>
      </c>
      <c r="D8" s="1454" t="s">
        <v>306</v>
      </c>
      <c r="E8" s="1454" t="s">
        <v>253</v>
      </c>
      <c r="F8" s="1444" t="s">
        <v>446</v>
      </c>
      <c r="G8" s="1445"/>
      <c r="H8" s="57"/>
    </row>
    <row r="9" spans="1:9" ht="28.05" customHeight="1">
      <c r="A9" s="1503"/>
      <c r="B9" s="1457"/>
      <c r="C9" s="1480"/>
      <c r="D9" s="1456"/>
      <c r="E9" s="1456"/>
      <c r="F9" s="1446"/>
      <c r="G9" s="1447"/>
    </row>
    <row r="10" spans="1:9" ht="14.4" thickBot="1">
      <c r="A10" s="1594"/>
      <c r="B10" s="1595"/>
      <c r="C10" s="901">
        <v>40999</v>
      </c>
      <c r="D10" s="902" t="str">
        <f>'Løntabel gældende fra'!$D$1</f>
        <v>01-08-2026</v>
      </c>
      <c r="E10" s="902" t="str">
        <f>'Løntabel gældende fra'!$D$1</f>
        <v>01-08-2026</v>
      </c>
      <c r="F10" s="1450" t="s">
        <v>531</v>
      </c>
      <c r="G10" s="1451"/>
    </row>
    <row r="11" spans="1:9">
      <c r="A11" s="1412">
        <v>1</v>
      </c>
      <c r="B11" s="1413"/>
      <c r="C11" s="819">
        <v>285240</v>
      </c>
      <c r="D11" s="820">
        <f>ROUND(C11*(1+'Løntabel gældende fra'!$D$7/100),2)</f>
        <v>363168.71</v>
      </c>
      <c r="E11" s="820">
        <f>ROUND(D11/12,2)</f>
        <v>30264.06</v>
      </c>
      <c r="F11" s="1471">
        <f>ROUND(E11*0.1807,2)</f>
        <v>5468.72</v>
      </c>
      <c r="G11" s="1176"/>
    </row>
    <row r="12" spans="1:9">
      <c r="A12" s="1414">
        <v>2</v>
      </c>
      <c r="B12" s="1415"/>
      <c r="C12" s="821">
        <v>285240</v>
      </c>
      <c r="D12" s="630">
        <f>ROUND(C12*(1+'Løntabel gældende fra'!$D$7/100),2)</f>
        <v>363168.71</v>
      </c>
      <c r="E12" s="630">
        <f t="shared" ref="E12:E15" si="0">ROUND(D12/12,2)</f>
        <v>30264.06</v>
      </c>
      <c r="F12" s="1472">
        <f t="shared" ref="F12:F15" si="1">ROUND(E12*0.1807,2)</f>
        <v>5468.72</v>
      </c>
      <c r="G12" s="1099"/>
    </row>
    <row r="13" spans="1:9">
      <c r="A13" s="1414">
        <v>3</v>
      </c>
      <c r="B13" s="1415"/>
      <c r="C13" s="821">
        <v>307417</v>
      </c>
      <c r="D13" s="630">
        <f>ROUND(C13*(1+'Løntabel gældende fra'!$D$7/100),2)</f>
        <v>391404.55</v>
      </c>
      <c r="E13" s="630">
        <f t="shared" si="0"/>
        <v>32617.05</v>
      </c>
      <c r="F13" s="1472">
        <f t="shared" si="1"/>
        <v>5893.9</v>
      </c>
      <c r="G13" s="1099"/>
    </row>
    <row r="14" spans="1:9">
      <c r="A14" s="1414">
        <v>4</v>
      </c>
      <c r="B14" s="1415"/>
      <c r="C14" s="821">
        <v>327643</v>
      </c>
      <c r="D14" s="630">
        <f>ROUND(C14*(1+'Løntabel gældende fra'!$D$7/100),2)</f>
        <v>417156.38</v>
      </c>
      <c r="E14" s="630">
        <f t="shared" si="0"/>
        <v>34763.03</v>
      </c>
      <c r="F14" s="1472">
        <f t="shared" si="1"/>
        <v>6281.68</v>
      </c>
      <c r="G14" s="1099"/>
    </row>
    <row r="15" spans="1:9" ht="14.4" thickBot="1">
      <c r="A15" s="1410">
        <v>5</v>
      </c>
      <c r="B15" s="1411"/>
      <c r="C15" s="822">
        <v>347571</v>
      </c>
      <c r="D15" s="823">
        <f>ROUND(C15*(1+'Løntabel gældende fra'!$D$7/100),2)</f>
        <v>442528.79</v>
      </c>
      <c r="E15" s="823">
        <f t="shared" si="0"/>
        <v>36877.4</v>
      </c>
      <c r="F15" s="1473">
        <f t="shared" si="1"/>
        <v>6663.75</v>
      </c>
      <c r="G15" s="1148"/>
    </row>
    <row r="16" spans="1:9">
      <c r="A16" s="1596" t="s">
        <v>370</v>
      </c>
      <c r="B16" s="1596"/>
      <c r="C16" s="1596"/>
      <c r="D16" s="1596"/>
      <c r="E16" s="1596"/>
      <c r="F16" s="1596"/>
      <c r="G16" s="1596"/>
      <c r="H16" s="1596"/>
    </row>
    <row r="17" spans="1:9" ht="14.4" thickBot="1">
      <c r="I17" s="610"/>
    </row>
    <row r="18" spans="1:9" ht="14.4" thickBot="1">
      <c r="A18" s="1598" t="s">
        <v>378</v>
      </c>
      <c r="B18" s="1599"/>
      <c r="C18" s="1600"/>
      <c r="D18" s="1598" t="s">
        <v>360</v>
      </c>
      <c r="E18" s="1599"/>
      <c r="F18" s="1600"/>
      <c r="G18" s="591"/>
    </row>
    <row r="19" spans="1:9" ht="14.4" thickBot="1">
      <c r="A19" s="666" t="s">
        <v>361</v>
      </c>
      <c r="B19" s="1591" t="s">
        <v>93</v>
      </c>
      <c r="C19" s="1592"/>
      <c r="D19" s="666" t="s">
        <v>361</v>
      </c>
      <c r="E19" s="1591" t="s">
        <v>93</v>
      </c>
      <c r="F19" s="1593"/>
      <c r="G19" s="591"/>
    </row>
    <row r="20" spans="1:9" ht="15.75" customHeight="1">
      <c r="A20" s="667">
        <v>2</v>
      </c>
      <c r="B20" s="1590" t="s">
        <v>362</v>
      </c>
      <c r="C20" s="1597"/>
      <c r="D20" s="667">
        <v>1</v>
      </c>
      <c r="E20" s="1590" t="s">
        <v>365</v>
      </c>
      <c r="F20" s="1439"/>
      <c r="G20" s="591"/>
    </row>
    <row r="21" spans="1:9">
      <c r="A21" s="668">
        <v>4</v>
      </c>
      <c r="B21" s="1557" t="s">
        <v>363</v>
      </c>
      <c r="C21" s="1589"/>
      <c r="D21" s="668">
        <v>3</v>
      </c>
      <c r="E21" s="1557" t="s">
        <v>366</v>
      </c>
      <c r="F21" s="1558"/>
      <c r="G21" s="591"/>
    </row>
    <row r="22" spans="1:9" ht="14.4" thickBot="1">
      <c r="A22" s="669">
        <v>5</v>
      </c>
      <c r="B22" s="1509" t="s">
        <v>364</v>
      </c>
      <c r="C22" s="1559"/>
      <c r="D22" s="669">
        <v>5</v>
      </c>
      <c r="E22" s="1509" t="s">
        <v>367</v>
      </c>
      <c r="F22" s="1510"/>
      <c r="G22" s="591"/>
    </row>
    <row r="23" spans="1:9" ht="13.95" customHeight="1" thickBot="1">
      <c r="A23" s="608"/>
      <c r="B23" s="608"/>
      <c r="C23" s="591"/>
      <c r="D23" s="591"/>
      <c r="E23" s="609"/>
      <c r="F23" s="591"/>
      <c r="G23" s="591"/>
    </row>
    <row r="24" spans="1:9" ht="22.5" customHeight="1">
      <c r="A24" s="1484" t="s">
        <v>341</v>
      </c>
      <c r="B24" s="1485"/>
      <c r="C24" s="1485"/>
      <c r="D24" s="1485"/>
      <c r="E24" s="1485"/>
      <c r="F24" s="1485"/>
      <c r="G24" s="1486"/>
    </row>
    <row r="25" spans="1:9" ht="20.25" customHeight="1" thickBot="1">
      <c r="A25" s="1487" t="s">
        <v>469</v>
      </c>
      <c r="B25" s="1488"/>
      <c r="C25" s="1488"/>
      <c r="D25" s="1488"/>
      <c r="E25" s="1488"/>
      <c r="F25" s="1488"/>
      <c r="G25" s="1489"/>
    </row>
    <row r="26" spans="1:9" ht="15.75" customHeight="1">
      <c r="A26" s="1502" t="s">
        <v>91</v>
      </c>
      <c r="B26" s="1455"/>
      <c r="C26" s="1479" t="s">
        <v>128</v>
      </c>
      <c r="D26" s="1454" t="s">
        <v>306</v>
      </c>
      <c r="E26" s="1454" t="s">
        <v>253</v>
      </c>
      <c r="F26" s="1444" t="str">
        <f>F8</f>
        <v>Pensionsbidrag til AkedemikerPension</v>
      </c>
      <c r="G26" s="1445"/>
    </row>
    <row r="27" spans="1:9" ht="15" customHeight="1">
      <c r="A27" s="1503"/>
      <c r="B27" s="1457"/>
      <c r="C27" s="1480"/>
      <c r="D27" s="1456"/>
      <c r="E27" s="1456"/>
      <c r="F27" s="1446"/>
      <c r="G27" s="1447"/>
    </row>
    <row r="28" spans="1:9" ht="14.4" thickBot="1">
      <c r="A28" s="1442"/>
      <c r="B28" s="1443"/>
      <c r="C28" s="663">
        <v>40999</v>
      </c>
      <c r="D28" s="631" t="str">
        <f>'Løntabel gældende fra'!$D$1</f>
        <v>01-08-2026</v>
      </c>
      <c r="E28" s="631" t="str">
        <f>'Løntabel gældende fra'!$D$1</f>
        <v>01-08-2026</v>
      </c>
      <c r="F28" s="1448">
        <v>0.1807</v>
      </c>
      <c r="G28" s="1449"/>
    </row>
    <row r="29" spans="1:9">
      <c r="A29" s="1511" t="s">
        <v>340</v>
      </c>
      <c r="B29" s="1512"/>
      <c r="C29" s="824">
        <v>38000</v>
      </c>
      <c r="D29" s="825">
        <f>ROUND(C29*(1+'Løntabel gældende fra'!$D$7/100),2)</f>
        <v>48381.75</v>
      </c>
      <c r="E29" s="825">
        <f>ROUND(D29/12,2)</f>
        <v>4031.81</v>
      </c>
      <c r="F29" s="1491">
        <f>ROUND(E29*0.1807,2)</f>
        <v>728.55</v>
      </c>
      <c r="G29" s="1492"/>
    </row>
    <row r="30" spans="1:9" ht="14.25" customHeight="1">
      <c r="A30" s="1414" t="s">
        <v>339</v>
      </c>
      <c r="B30" s="1415"/>
      <c r="C30" s="826">
        <v>38000</v>
      </c>
      <c r="D30" s="633">
        <f>ROUND(C30*(1+'Løntabel gældende fra'!$D$7/100),2)</f>
        <v>48381.75</v>
      </c>
      <c r="E30" s="633">
        <f t="shared" ref="E30:E35" si="2">ROUND(D30/12,2)</f>
        <v>4031.81</v>
      </c>
      <c r="F30" s="1493">
        <f t="shared" ref="F30:F35" si="3">ROUND(E30*0.1807,2)</f>
        <v>728.55</v>
      </c>
      <c r="G30" s="1494"/>
    </row>
    <row r="31" spans="1:9">
      <c r="A31" s="1414" t="s">
        <v>338</v>
      </c>
      <c r="B31" s="1415"/>
      <c r="C31" s="826">
        <v>50000</v>
      </c>
      <c r="D31" s="633">
        <f>ROUND(C31*(1+'Løntabel gældende fra'!$D$7/100),2)</f>
        <v>63660.2</v>
      </c>
      <c r="E31" s="633">
        <f t="shared" si="2"/>
        <v>5305.02</v>
      </c>
      <c r="F31" s="1493">
        <f t="shared" si="3"/>
        <v>958.62</v>
      </c>
      <c r="G31" s="1494"/>
    </row>
    <row r="32" spans="1:9">
      <c r="A32" s="1414" t="s">
        <v>337</v>
      </c>
      <c r="B32" s="1415"/>
      <c r="C32" s="826">
        <v>50000</v>
      </c>
      <c r="D32" s="633">
        <f>ROUND(C32*(1+'Løntabel gældende fra'!$D$7/100),2)</f>
        <v>63660.2</v>
      </c>
      <c r="E32" s="633">
        <f t="shared" si="2"/>
        <v>5305.02</v>
      </c>
      <c r="F32" s="1493">
        <f t="shared" si="3"/>
        <v>958.62</v>
      </c>
      <c r="G32" s="1494"/>
    </row>
    <row r="33" spans="1:9" ht="15" customHeight="1">
      <c r="A33" s="1408" t="s">
        <v>336</v>
      </c>
      <c r="B33" s="1409"/>
      <c r="C33" s="826">
        <v>50000</v>
      </c>
      <c r="D33" s="633">
        <f>ROUND(C33*(1+'Løntabel gældende fra'!$D$7/100),2)</f>
        <v>63660.2</v>
      </c>
      <c r="E33" s="633">
        <f t="shared" si="2"/>
        <v>5305.02</v>
      </c>
      <c r="F33" s="1493">
        <f t="shared" si="3"/>
        <v>958.62</v>
      </c>
      <c r="G33" s="1494"/>
    </row>
    <row r="34" spans="1:9" ht="15.75" customHeight="1">
      <c r="A34" s="1414" t="s">
        <v>359</v>
      </c>
      <c r="B34" s="1415"/>
      <c r="C34" s="826">
        <v>50000</v>
      </c>
      <c r="D34" s="633">
        <f>ROUND(C34*(1+'Løntabel gældende fra'!$D$7/100),2)</f>
        <v>63660.2</v>
      </c>
      <c r="E34" s="633">
        <f t="shared" si="2"/>
        <v>5305.02</v>
      </c>
      <c r="F34" s="1493">
        <f t="shared" si="3"/>
        <v>958.62</v>
      </c>
      <c r="G34" s="1494"/>
    </row>
    <row r="35" spans="1:9" ht="15.75" customHeight="1" thickBot="1">
      <c r="A35" s="1504" t="s">
        <v>335</v>
      </c>
      <c r="B35" s="1453"/>
      <c r="C35" s="827">
        <v>72500</v>
      </c>
      <c r="D35" s="828">
        <f>ROUND(C35*(1+'Løntabel gældende fra'!$D$7/100),2)</f>
        <v>92307.29</v>
      </c>
      <c r="E35" s="828">
        <f t="shared" si="2"/>
        <v>7692.27</v>
      </c>
      <c r="F35" s="1495">
        <f t="shared" si="3"/>
        <v>1389.99</v>
      </c>
      <c r="G35" s="1496"/>
    </row>
    <row r="36" spans="1:9" ht="15.75" customHeight="1" thickBot="1">
      <c r="A36" s="607"/>
      <c r="B36" s="607"/>
      <c r="C36" s="607"/>
      <c r="D36" s="607"/>
      <c r="E36" s="607"/>
      <c r="F36" s="607"/>
      <c r="G36" s="607"/>
    </row>
    <row r="37" spans="1:9" ht="17.25" customHeight="1">
      <c r="A37" s="1271" t="s">
        <v>334</v>
      </c>
      <c r="B37" s="1272"/>
      <c r="C37" s="1272"/>
      <c r="D37" s="1272"/>
      <c r="E37" s="1272"/>
      <c r="F37" s="1272"/>
      <c r="G37" s="1273"/>
    </row>
    <row r="38" spans="1:9" ht="17.25" customHeight="1" thickBot="1">
      <c r="A38" s="1281" t="s">
        <v>468</v>
      </c>
      <c r="B38" s="1282"/>
      <c r="C38" s="1282"/>
      <c r="D38" s="1282"/>
      <c r="E38" s="1282"/>
      <c r="F38" s="1282"/>
      <c r="G38" s="1283"/>
    </row>
    <row r="39" spans="1:9" ht="28.05" customHeight="1">
      <c r="A39" s="1502" t="s">
        <v>358</v>
      </c>
      <c r="B39" s="1454"/>
      <c r="C39" s="1455" t="s">
        <v>333</v>
      </c>
      <c r="D39" s="1479" t="s">
        <v>128</v>
      </c>
      <c r="E39" s="1454" t="s">
        <v>306</v>
      </c>
      <c r="F39" s="1474" t="s">
        <v>253</v>
      </c>
      <c r="G39" s="1500" t="s">
        <v>447</v>
      </c>
    </row>
    <row r="40" spans="1:9" ht="17.25" customHeight="1">
      <c r="A40" s="1503"/>
      <c r="B40" s="1456"/>
      <c r="C40" s="1457"/>
      <c r="D40" s="1480"/>
      <c r="E40" s="1456"/>
      <c r="F40" s="1475"/>
      <c r="G40" s="1501"/>
    </row>
    <row r="41" spans="1:9" ht="13.95" customHeight="1" thickBot="1">
      <c r="A41" s="1504"/>
      <c r="B41" s="1452"/>
      <c r="C41" s="1453"/>
      <c r="D41" s="662">
        <v>40999</v>
      </c>
      <c r="E41" s="635" t="str">
        <f>'Løntabel gældende fra'!$D$1</f>
        <v>01-08-2026</v>
      </c>
      <c r="F41" s="635" t="str">
        <f>E41</f>
        <v>01-08-2026</v>
      </c>
      <c r="G41" s="636">
        <v>0.1807</v>
      </c>
      <c r="H41" s="591"/>
    </row>
    <row r="42" spans="1:9" ht="13.95" customHeight="1">
      <c r="A42" s="1560" t="s">
        <v>332</v>
      </c>
      <c r="B42" s="1561"/>
      <c r="C42" s="638" t="s">
        <v>331</v>
      </c>
      <c r="D42" s="637">
        <v>4300</v>
      </c>
      <c r="E42" s="633">
        <f>ROUND(D42*(1+'Løntabel gældende fra'!$D$7/100),2)</f>
        <v>5474.78</v>
      </c>
      <c r="F42" s="633">
        <f>ROUND(E42/12,2)</f>
        <v>456.23</v>
      </c>
      <c r="G42" s="634">
        <f>ROUND(F42*0.1807,2)</f>
        <v>82.44</v>
      </c>
    </row>
    <row r="43" spans="1:9" ht="14.55" customHeight="1">
      <c r="A43" s="1520" t="s">
        <v>328</v>
      </c>
      <c r="B43" s="1521"/>
      <c r="C43" s="639" t="s">
        <v>330</v>
      </c>
      <c r="D43" s="632">
        <v>6900</v>
      </c>
      <c r="E43" s="633">
        <f>ROUND(D43*(1+'Løntabel gældende fra'!$D$7/100),2)</f>
        <v>8785.11</v>
      </c>
      <c r="F43" s="633">
        <f t="shared" ref="F43:F47" si="4">ROUND(E43/12,2)</f>
        <v>732.09</v>
      </c>
      <c r="G43" s="634">
        <f t="shared" ref="G43:G47" si="5">ROUND(F43*0.1807,2)</f>
        <v>132.29</v>
      </c>
    </row>
    <row r="44" spans="1:9" ht="13.95" customHeight="1">
      <c r="A44" s="1520" t="s">
        <v>328</v>
      </c>
      <c r="B44" s="1521"/>
      <c r="C44" s="639" t="s">
        <v>329</v>
      </c>
      <c r="D44" s="605">
        <v>12600</v>
      </c>
      <c r="E44" s="633">
        <f>ROUND(D44*(1+'Løntabel gældende fra'!$D$7/100),2)</f>
        <v>16042.37</v>
      </c>
      <c r="F44" s="633">
        <f t="shared" si="4"/>
        <v>1336.86</v>
      </c>
      <c r="G44" s="634">
        <f t="shared" si="5"/>
        <v>241.57</v>
      </c>
    </row>
    <row r="45" spans="1:9" ht="15.75" customHeight="1">
      <c r="A45" s="1520" t="s">
        <v>328</v>
      </c>
      <c r="B45" s="1521"/>
      <c r="C45" s="639" t="s">
        <v>327</v>
      </c>
      <c r="D45" s="605">
        <v>19500</v>
      </c>
      <c r="E45" s="633">
        <f>ROUND(D45*(1+'Løntabel gældende fra'!$D$7/100),2)</f>
        <v>24827.48</v>
      </c>
      <c r="F45" s="633">
        <f t="shared" si="4"/>
        <v>2068.96</v>
      </c>
      <c r="G45" s="634">
        <f t="shared" si="5"/>
        <v>373.86</v>
      </c>
    </row>
    <row r="46" spans="1:9" ht="32.25" customHeight="1">
      <c r="A46" s="1520" t="s">
        <v>325</v>
      </c>
      <c r="B46" s="1521"/>
      <c r="C46" s="640" t="s">
        <v>326</v>
      </c>
      <c r="D46" s="632">
        <v>19500</v>
      </c>
      <c r="E46" s="633">
        <f>ROUND(D46*(1+'Løntabel gældende fra'!$D$7/100),2)</f>
        <v>24827.48</v>
      </c>
      <c r="F46" s="633">
        <f t="shared" si="4"/>
        <v>2068.96</v>
      </c>
      <c r="G46" s="634">
        <f t="shared" si="5"/>
        <v>373.86</v>
      </c>
    </row>
    <row r="47" spans="1:9" ht="29.25" customHeight="1" thickBot="1">
      <c r="A47" s="1582" t="s">
        <v>325</v>
      </c>
      <c r="B47" s="1583"/>
      <c r="C47" s="641" t="s">
        <v>369</v>
      </c>
      <c r="D47" s="606">
        <v>39000</v>
      </c>
      <c r="E47" s="633">
        <f>ROUND(D47*(1+'Løntabel gældende fra'!$D$7/100),2)</f>
        <v>49654.96</v>
      </c>
      <c r="F47" s="633">
        <f t="shared" si="4"/>
        <v>4137.91</v>
      </c>
      <c r="G47" s="634">
        <f t="shared" si="5"/>
        <v>747.72</v>
      </c>
    </row>
    <row r="48" spans="1:9" ht="13.95" customHeight="1" thickBot="1">
      <c r="A48" s="594"/>
      <c r="B48" s="594"/>
      <c r="C48" s="594"/>
      <c r="D48" s="594"/>
      <c r="E48" s="594"/>
      <c r="F48" s="594"/>
      <c r="G48" s="594"/>
      <c r="H48" s="591"/>
      <c r="I48" s="591"/>
    </row>
    <row r="49" spans="1:10" ht="16.5" customHeight="1">
      <c r="A49" s="1271" t="s">
        <v>324</v>
      </c>
      <c r="B49" s="1272"/>
      <c r="C49" s="1272"/>
      <c r="D49" s="1272"/>
      <c r="E49" s="1272"/>
      <c r="F49" s="1272"/>
      <c r="G49" s="1273"/>
    </row>
    <row r="50" spans="1:10" ht="16.05" customHeight="1" thickBot="1">
      <c r="A50" s="1513" t="s">
        <v>346</v>
      </c>
      <c r="B50" s="1514"/>
      <c r="C50" s="1514"/>
      <c r="D50" s="1514"/>
      <c r="E50" s="1514"/>
      <c r="F50" s="1514"/>
      <c r="G50" s="1515"/>
    </row>
    <row r="51" spans="1:10" ht="16.5" customHeight="1">
      <c r="A51" s="1516" t="s">
        <v>128</v>
      </c>
      <c r="B51" s="1517"/>
      <c r="C51" s="1444" t="s">
        <v>306</v>
      </c>
      <c r="D51" s="1517"/>
      <c r="E51" s="1454" t="str">
        <f>F8</f>
        <v>Pensionsbidrag til AkedemikerPension</v>
      </c>
      <c r="F51" s="1454"/>
      <c r="G51" s="1455"/>
    </row>
    <row r="52" spans="1:10" ht="15" customHeight="1">
      <c r="A52" s="1518"/>
      <c r="B52" s="1519"/>
      <c r="C52" s="1446"/>
      <c r="D52" s="1519"/>
      <c r="E52" s="1456"/>
      <c r="F52" s="1456"/>
      <c r="G52" s="1457"/>
    </row>
    <row r="53" spans="1:10" ht="14.4" thickBot="1">
      <c r="A53" s="1505">
        <v>40999</v>
      </c>
      <c r="B53" s="1506"/>
      <c r="C53" s="1507" t="str">
        <f>'Løntabel gældende fra'!$D$1</f>
        <v>01-08-2026</v>
      </c>
      <c r="D53" s="1508"/>
      <c r="E53" s="1452" t="s">
        <v>531</v>
      </c>
      <c r="F53" s="1452"/>
      <c r="G53" s="1453"/>
    </row>
    <row r="54" spans="1:10" ht="21.75" customHeight="1" thickBot="1">
      <c r="A54" s="1476">
        <v>21900</v>
      </c>
      <c r="B54" s="1477"/>
      <c r="C54" s="1478">
        <f>ROUND(A54*(1+'Løntabel gældende fra'!$D$7/100),2)</f>
        <v>27883.17</v>
      </c>
      <c r="D54" s="1477"/>
      <c r="E54" s="1497">
        <f>ROUND(C54*0.1807,2)</f>
        <v>5038.49</v>
      </c>
      <c r="F54" s="1497"/>
      <c r="G54" s="1498"/>
    </row>
    <row r="55" spans="1:10" ht="16.5" customHeight="1">
      <c r="A55" s="7" t="s">
        <v>323</v>
      </c>
      <c r="B55" s="593"/>
      <c r="C55" s="593"/>
      <c r="D55" s="593"/>
      <c r="E55" s="593"/>
      <c r="F55" s="593"/>
      <c r="G55" s="593"/>
    </row>
    <row r="56" spans="1:10" ht="21" customHeight="1" thickBot="1">
      <c r="A56" s="14"/>
      <c r="B56" s="14"/>
      <c r="C56" s="14"/>
      <c r="D56" s="14"/>
      <c r="E56" s="14"/>
      <c r="F56" s="14"/>
      <c r="G56" s="14"/>
    </row>
    <row r="57" spans="1:10" ht="19.5" customHeight="1">
      <c r="A57" s="1627" t="s">
        <v>322</v>
      </c>
      <c r="B57" s="1628"/>
      <c r="C57" s="1628"/>
      <c r="D57" s="1628"/>
      <c r="E57" s="1628"/>
      <c r="F57" s="1628"/>
      <c r="G57" s="1629"/>
    </row>
    <row r="58" spans="1:10" ht="20.25" customHeight="1" thickBot="1">
      <c r="A58" s="1513" t="s">
        <v>347</v>
      </c>
      <c r="B58" s="1514"/>
      <c r="C58" s="1514"/>
      <c r="D58" s="1514"/>
      <c r="E58" s="1514"/>
      <c r="F58" s="1514"/>
      <c r="G58" s="1515"/>
    </row>
    <row r="59" spans="1:10" ht="12.75" customHeight="1">
      <c r="A59" s="1630" t="s">
        <v>128</v>
      </c>
      <c r="B59" s="1631"/>
      <c r="C59" s="1631"/>
      <c r="D59" s="1632"/>
      <c r="E59" s="1640" t="s">
        <v>306</v>
      </c>
      <c r="F59" s="1641"/>
      <c r="G59" s="1642"/>
    </row>
    <row r="60" spans="1:10" ht="11.25" customHeight="1">
      <c r="A60" s="1633"/>
      <c r="B60" s="1634"/>
      <c r="C60" s="1634"/>
      <c r="D60" s="1635"/>
      <c r="E60" s="1643"/>
      <c r="F60" s="1644"/>
      <c r="G60" s="1645"/>
    </row>
    <row r="61" spans="1:10" ht="12.75" customHeight="1" thickBot="1">
      <c r="A61" s="1636">
        <v>40999</v>
      </c>
      <c r="B61" s="1637"/>
      <c r="C61" s="1637"/>
      <c r="D61" s="1638"/>
      <c r="E61" s="1646" t="str">
        <f>'Løntabel gældende fra'!$D$1</f>
        <v>01-08-2026</v>
      </c>
      <c r="F61" s="1647"/>
      <c r="G61" s="1648"/>
      <c r="J61" s="592"/>
    </row>
    <row r="62" spans="1:10" ht="17.25" customHeight="1" thickBot="1">
      <c r="A62" s="1476">
        <v>8800</v>
      </c>
      <c r="B62" s="1639"/>
      <c r="C62" s="1639"/>
      <c r="D62" s="1477"/>
      <c r="E62" s="1478">
        <f>ROUND(A62*(1+'Løntabel gældende fra'!$D$7/100),2)</f>
        <v>11204.2</v>
      </c>
      <c r="F62" s="1639"/>
      <c r="G62" s="1649"/>
      <c r="J62" s="591"/>
    </row>
    <row r="63" spans="1:10" ht="17.25" customHeight="1" thickBot="1">
      <c r="A63" s="217"/>
      <c r="B63" s="217"/>
      <c r="C63" s="217"/>
      <c r="D63" s="217"/>
      <c r="E63" s="217"/>
      <c r="F63" s="217"/>
      <c r="G63" s="217"/>
      <c r="J63" s="591"/>
    </row>
    <row r="64" spans="1:10" ht="21" customHeight="1" thickBot="1">
      <c r="A64" s="1562" t="s">
        <v>348</v>
      </c>
      <c r="B64" s="1563"/>
      <c r="C64" s="1563"/>
      <c r="D64" s="1563"/>
      <c r="E64" s="1563"/>
      <c r="F64" s="1563"/>
      <c r="G64" s="1564"/>
      <c r="J64" s="591"/>
    </row>
    <row r="65" spans="1:9" ht="12.75" customHeight="1" thickBot="1">
      <c r="A65" s="602"/>
      <c r="B65" s="602"/>
      <c r="C65" s="602"/>
      <c r="D65" s="602"/>
      <c r="E65" s="602"/>
      <c r="F65" s="602"/>
      <c r="G65" s="602"/>
    </row>
    <row r="66" spans="1:9" ht="43.2" customHeight="1" thickBot="1">
      <c r="A66" s="1565" t="s">
        <v>464</v>
      </c>
      <c r="B66" s="1566"/>
      <c r="C66" s="1566"/>
      <c r="D66" s="1566"/>
      <c r="E66" s="1566"/>
      <c r="F66" s="1566"/>
      <c r="G66" s="1567"/>
    </row>
    <row r="67" spans="1:9" ht="17.25" customHeight="1">
      <c r="A67" s="1601" t="s">
        <v>467</v>
      </c>
      <c r="B67" s="1602"/>
      <c r="C67" s="1602"/>
      <c r="D67" s="1602"/>
      <c r="E67" s="1602"/>
      <c r="F67" s="1602"/>
      <c r="G67" s="1603"/>
    </row>
    <row r="68" spans="1:9" ht="72" customHeight="1" thickBot="1">
      <c r="A68" s="1604"/>
      <c r="B68" s="1605"/>
      <c r="C68" s="1605"/>
      <c r="D68" s="1605"/>
      <c r="E68" s="1605"/>
      <c r="F68" s="1605"/>
      <c r="G68" s="1606"/>
    </row>
    <row r="69" spans="1:9" ht="18" customHeight="1" thickBot="1">
      <c r="A69" s="900"/>
      <c r="B69" s="900"/>
      <c r="C69" s="900"/>
      <c r="D69" s="900"/>
      <c r="E69" s="900"/>
      <c r="F69" s="900"/>
      <c r="G69" s="900"/>
    </row>
    <row r="70" spans="1:9" ht="43.95" customHeight="1" thickBot="1">
      <c r="A70" s="1607" t="s">
        <v>465</v>
      </c>
      <c r="B70" s="1608"/>
      <c r="C70" s="1608"/>
      <c r="D70" s="1608"/>
      <c r="E70" s="1608"/>
      <c r="F70" s="1608"/>
      <c r="G70" s="1609"/>
    </row>
    <row r="71" spans="1:9" ht="18.75" customHeight="1">
      <c r="A71" s="1542" t="s">
        <v>466</v>
      </c>
      <c r="B71" s="1543"/>
      <c r="C71" s="1543"/>
      <c r="D71" s="1543"/>
      <c r="E71" s="1543"/>
      <c r="F71" s="1543"/>
      <c r="G71" s="1544"/>
    </row>
    <row r="72" spans="1:9" ht="15.75" customHeight="1">
      <c r="A72" s="1539" t="s">
        <v>368</v>
      </c>
      <c r="B72" s="1540"/>
      <c r="C72" s="1540"/>
      <c r="D72" s="1540"/>
      <c r="E72" s="1540"/>
      <c r="F72" s="1540"/>
      <c r="G72" s="1541"/>
    </row>
    <row r="73" spans="1:9" ht="29.25" customHeight="1">
      <c r="A73" s="1537" t="s">
        <v>57</v>
      </c>
      <c r="B73" s="1555" t="s">
        <v>128</v>
      </c>
      <c r="C73" s="1462" t="s">
        <v>306</v>
      </c>
      <c r="D73" s="1550" t="s">
        <v>352</v>
      </c>
      <c r="E73" s="1461" t="s">
        <v>90</v>
      </c>
      <c r="F73" s="1462"/>
      <c r="G73" s="1463"/>
    </row>
    <row r="74" spans="1:9" ht="20.25" customHeight="1">
      <c r="A74" s="1537"/>
      <c r="B74" s="1556"/>
      <c r="C74" s="1465"/>
      <c r="D74" s="1551"/>
      <c r="E74" s="1464"/>
      <c r="F74" s="1465"/>
      <c r="G74" s="1466"/>
      <c r="H74" s="591"/>
      <c r="I74" s="591"/>
    </row>
    <row r="75" spans="1:9" ht="32.25" customHeight="1" thickBot="1">
      <c r="A75" s="1538"/>
      <c r="B75" s="646">
        <v>40999</v>
      </c>
      <c r="C75" s="647" t="str">
        <f>'Løntabel gældende fra'!$D$1</f>
        <v>01-08-2026</v>
      </c>
      <c r="D75" s="689" t="str">
        <f>C75</f>
        <v>01-08-2026</v>
      </c>
      <c r="E75" s="1458" t="s">
        <v>548</v>
      </c>
      <c r="F75" s="1459"/>
      <c r="G75" s="1460"/>
      <c r="H75" s="591"/>
      <c r="I75" s="591"/>
    </row>
    <row r="76" spans="1:9" ht="21.75" customHeight="1" thickBot="1">
      <c r="A76" s="643">
        <v>50</v>
      </c>
      <c r="B76" s="642">
        <v>521094</v>
      </c>
      <c r="C76" s="644">
        <f>B76*(1+'Løntabel gældende fra'!$D$7/100)</f>
        <v>663458.96517600003</v>
      </c>
      <c r="D76" s="645">
        <f>ROUND(C76/12,2)</f>
        <v>55288.25</v>
      </c>
      <c r="E76" s="1499">
        <f>ROUND(D76*0.1897,2)</f>
        <v>10488.18</v>
      </c>
      <c r="F76" s="1440"/>
      <c r="G76" s="1441"/>
      <c r="H76" s="592"/>
    </row>
    <row r="77" spans="1:9" ht="12.75" customHeight="1">
      <c r="A77" s="1524" t="s">
        <v>551</v>
      </c>
      <c r="B77" s="1524"/>
      <c r="C77" s="1524"/>
      <c r="D77" s="1524"/>
      <c r="E77" s="1525"/>
      <c r="F77" s="1525"/>
      <c r="G77" s="1525"/>
      <c r="H77" s="591"/>
    </row>
    <row r="78" spans="1:9" ht="28.95" customHeight="1" thickBot="1">
      <c r="A78" s="1526"/>
      <c r="B78" s="1526"/>
      <c r="C78" s="1526"/>
      <c r="D78" s="1526"/>
      <c r="E78" s="1526"/>
      <c r="F78" s="1526"/>
      <c r="G78" s="1526"/>
    </row>
    <row r="79" spans="1:9" ht="16.5" customHeight="1" thickBot="1">
      <c r="A79" s="1547" t="s">
        <v>321</v>
      </c>
      <c r="B79" s="1548"/>
      <c r="C79" s="1548"/>
      <c r="D79" s="1548"/>
      <c r="E79" s="1548"/>
      <c r="F79" s="1548"/>
      <c r="G79" s="1549"/>
    </row>
    <row r="80" spans="1:9" ht="19.5" customHeight="1">
      <c r="A80" s="1570" t="s">
        <v>320</v>
      </c>
      <c r="B80" s="1573" t="s">
        <v>349</v>
      </c>
      <c r="C80" s="1574"/>
      <c r="D80" s="1575"/>
      <c r="E80" s="1527" t="s">
        <v>349</v>
      </c>
      <c r="F80" s="1528"/>
      <c r="G80" s="1529"/>
    </row>
    <row r="81" spans="1:7" ht="14.25" customHeight="1">
      <c r="A81" s="1571"/>
      <c r="B81" s="1576">
        <v>40999</v>
      </c>
      <c r="C81" s="1577"/>
      <c r="D81" s="1578"/>
      <c r="E81" s="1530" t="str">
        <f>'Løntabel gældende fra'!$D$1</f>
        <v>01-08-2026</v>
      </c>
      <c r="F81" s="1531"/>
      <c r="G81" s="1532"/>
    </row>
    <row r="82" spans="1:7">
      <c r="A82" s="1571"/>
      <c r="B82" s="1579"/>
      <c r="C82" s="1580"/>
      <c r="D82" s="1581"/>
      <c r="E82" s="1533"/>
      <c r="F82" s="1534"/>
      <c r="G82" s="1535"/>
    </row>
    <row r="83" spans="1:7" ht="15.6" thickBot="1">
      <c r="A83" s="1572"/>
      <c r="B83" s="1588" t="s">
        <v>350</v>
      </c>
      <c r="C83" s="1536"/>
      <c r="D83" s="652" t="s">
        <v>351</v>
      </c>
      <c r="E83" s="1536" t="s">
        <v>350</v>
      </c>
      <c r="F83" s="1536"/>
      <c r="G83" s="653" t="s">
        <v>351</v>
      </c>
    </row>
    <row r="84" spans="1:7" ht="18" customHeight="1">
      <c r="A84" s="661">
        <v>1</v>
      </c>
      <c r="B84" s="1545">
        <v>485345</v>
      </c>
      <c r="C84" s="1546"/>
      <c r="D84" s="650">
        <v>511173</v>
      </c>
      <c r="E84" s="1568">
        <f>ROUND(B84*(1+'Løntabel gældende fra'!$D$7/100),2)</f>
        <v>617943.19999999995</v>
      </c>
      <c r="F84" s="1568"/>
      <c r="G84" s="651">
        <f>ROUND(D84*(1+'Løntabel gældende fra'!$D$7/100),2)</f>
        <v>650827.51</v>
      </c>
    </row>
    <row r="85" spans="1:7" ht="15.6" thickBot="1">
      <c r="A85" s="649">
        <v>2</v>
      </c>
      <c r="B85" s="1522">
        <v>450909</v>
      </c>
      <c r="C85" s="1523"/>
      <c r="D85" s="648">
        <v>472431</v>
      </c>
      <c r="E85" s="1569">
        <f>ROUND(B85*(1+'Løntabel gældende fra'!$D$7/100),2)</f>
        <v>574099.14</v>
      </c>
      <c r="F85" s="1569"/>
      <c r="G85" s="973">
        <f>ROUND(D85*(1+'Løntabel gældende fra'!$D$7/100),2)</f>
        <v>601501.04</v>
      </c>
    </row>
    <row r="86" spans="1:7" ht="26.25" customHeight="1" thickBot="1">
      <c r="A86" s="1490" t="s">
        <v>549</v>
      </c>
      <c r="B86" s="1490"/>
      <c r="C86" s="1490"/>
      <c r="D86" s="1490"/>
      <c r="E86" s="1490"/>
      <c r="F86" s="1490"/>
      <c r="G86" s="1490"/>
    </row>
    <row r="87" spans="1:7" ht="21.75" customHeight="1" thickBot="1">
      <c r="A87" s="1584" t="s">
        <v>319</v>
      </c>
      <c r="B87" s="1585"/>
      <c r="C87" s="1585"/>
      <c r="D87" s="1585"/>
      <c r="E87" s="1585"/>
      <c r="F87" s="1585"/>
      <c r="G87" s="1586"/>
    </row>
    <row r="88" spans="1:7" ht="18" customHeight="1">
      <c r="A88" s="1552" t="s">
        <v>234</v>
      </c>
      <c r="B88" s="1587" t="s">
        <v>128</v>
      </c>
      <c r="C88" s="1469" t="s">
        <v>306</v>
      </c>
      <c r="D88" s="1619" t="s">
        <v>253</v>
      </c>
      <c r="E88" s="1469" t="str">
        <f>F8</f>
        <v>Pensionsbidrag til AkedemikerPension</v>
      </c>
      <c r="F88" s="1469"/>
      <c r="G88" s="1470"/>
    </row>
    <row r="89" spans="1:7" ht="17.25" customHeight="1">
      <c r="A89" s="1553"/>
      <c r="B89" s="1464"/>
      <c r="C89" s="1465"/>
      <c r="D89" s="1620"/>
      <c r="E89" s="1465"/>
      <c r="F89" s="1465"/>
      <c r="G89" s="1466"/>
    </row>
    <row r="90" spans="1:7" ht="17.25" customHeight="1" thickBot="1">
      <c r="A90" s="1553"/>
      <c r="B90" s="655">
        <v>40999</v>
      </c>
      <c r="C90" s="647" t="str">
        <f>'Løntabel gældende fra'!$D$1</f>
        <v>01-08-2026</v>
      </c>
      <c r="D90" s="647" t="str">
        <f>C90</f>
        <v>01-08-2026</v>
      </c>
      <c r="E90" s="1467" t="s">
        <v>550</v>
      </c>
      <c r="F90" s="1467"/>
      <c r="G90" s="1468"/>
    </row>
    <row r="91" spans="1:7" ht="17.25" customHeight="1" thickBot="1">
      <c r="A91" s="1554"/>
      <c r="B91" s="654">
        <v>460000</v>
      </c>
      <c r="C91" s="644">
        <f>ROUND(B91*(1+'Løntabel gældende fra'!$D$7/100),2)</f>
        <v>585673.84</v>
      </c>
      <c r="D91" s="645">
        <f>ROUND(C91/12,2)</f>
        <v>48806.15</v>
      </c>
      <c r="E91" s="1621">
        <f>ROUND(D91*0.1897,2)</f>
        <v>9258.5300000000007</v>
      </c>
      <c r="F91" s="1622"/>
      <c r="G91" s="1623"/>
    </row>
    <row r="92" spans="1:7" ht="19.5" customHeight="1" thickBot="1">
      <c r="A92" s="613"/>
      <c r="B92" s="603"/>
      <c r="C92" s="603"/>
      <c r="D92" s="603"/>
      <c r="E92" s="604"/>
      <c r="F92" s="604"/>
      <c r="G92" s="604"/>
    </row>
    <row r="93" spans="1:7" ht="20.25" customHeight="1">
      <c r="A93" s="1624" t="s">
        <v>318</v>
      </c>
      <c r="B93" s="1625"/>
      <c r="C93" s="1625"/>
      <c r="D93" s="1625"/>
      <c r="E93" s="1625"/>
      <c r="F93" s="1625"/>
      <c r="G93" s="1626"/>
    </row>
    <row r="94" spans="1:7" ht="20.25" customHeight="1" thickBot="1">
      <c r="A94" s="1610" t="s">
        <v>317</v>
      </c>
      <c r="B94" s="1611"/>
      <c r="C94" s="1611"/>
      <c r="D94" s="1611"/>
      <c r="E94" s="1611"/>
      <c r="F94" s="1611"/>
      <c r="G94" s="1612"/>
    </row>
    <row r="95" spans="1:7" ht="21" customHeight="1">
      <c r="A95" s="1613" t="s">
        <v>112</v>
      </c>
      <c r="B95" s="1615" t="s">
        <v>128</v>
      </c>
      <c r="C95" s="1616" t="s">
        <v>306</v>
      </c>
      <c r="D95" s="1617" t="s">
        <v>253</v>
      </c>
      <c r="E95" s="1469" t="str">
        <f>E88</f>
        <v>Pensionsbidrag til AkedemikerPension</v>
      </c>
      <c r="F95" s="1469"/>
      <c r="G95" s="1470"/>
    </row>
    <row r="96" spans="1:7" ht="19.5" customHeight="1">
      <c r="A96" s="1614"/>
      <c r="B96" s="1555"/>
      <c r="C96" s="1462"/>
      <c r="D96" s="1618"/>
      <c r="E96" s="1465"/>
      <c r="F96" s="1465"/>
      <c r="G96" s="1466"/>
    </row>
    <row r="97" spans="1:9" ht="13.5" customHeight="1" thickBot="1">
      <c r="A97" s="660"/>
      <c r="B97" s="646">
        <v>40999</v>
      </c>
      <c r="C97" s="647" t="str">
        <f>'Løntabel gældende fra'!$D$1</f>
        <v>01-08-2026</v>
      </c>
      <c r="D97" s="647" t="str">
        <f>C97</f>
        <v>01-08-2026</v>
      </c>
      <c r="E97" s="1459" t="s">
        <v>550</v>
      </c>
      <c r="F97" s="1459"/>
      <c r="G97" s="1460"/>
      <c r="H97" s="601"/>
    </row>
    <row r="98" spans="1:9">
      <c r="A98" s="658" t="s">
        <v>316</v>
      </c>
      <c r="B98" s="656">
        <v>131590</v>
      </c>
      <c r="C98" s="671">
        <f>ROUND(B98*(1+'Løntabel gældende fra'!$D$7/100),2)</f>
        <v>167540.91</v>
      </c>
      <c r="D98" s="671">
        <f>ROUND(C98/12,2)</f>
        <v>13961.74</v>
      </c>
      <c r="E98" s="1438">
        <f>ROUND(D98*0.1897,2)</f>
        <v>2648.54</v>
      </c>
      <c r="F98" s="1438"/>
      <c r="G98" s="1439"/>
      <c r="I98" s="601"/>
    </row>
    <row r="99" spans="1:9" ht="15" customHeight="1" thickBot="1">
      <c r="A99" s="659" t="s">
        <v>315</v>
      </c>
      <c r="B99" s="657">
        <v>150988</v>
      </c>
      <c r="C99" s="670">
        <f>ROUND(B99*(1+'Løntabel gældende fra'!$D$7/100),2)</f>
        <v>192238.53</v>
      </c>
      <c r="D99" s="644">
        <f>ROUND(C99/12,2)</f>
        <v>16019.88</v>
      </c>
      <c r="E99" s="1440">
        <f>ROUND(D99*0.1897,2)</f>
        <v>3038.97</v>
      </c>
      <c r="F99" s="1440"/>
      <c r="G99" s="1441"/>
    </row>
    <row r="100" spans="1:9" customFormat="1" ht="14.4">
      <c r="A100" s="675" t="s">
        <v>356</v>
      </c>
      <c r="B100" s="599"/>
      <c r="C100" s="599"/>
      <c r="D100" s="599"/>
      <c r="E100" s="599"/>
      <c r="F100" s="599"/>
      <c r="G100" s="599"/>
    </row>
    <row r="101" spans="1:9" customFormat="1" ht="16.05" customHeight="1">
      <c r="A101" s="2"/>
      <c r="B101" s="2"/>
      <c r="C101" s="2"/>
      <c r="D101" s="2"/>
      <c r="E101" s="2"/>
      <c r="F101" s="2"/>
      <c r="G101" s="2"/>
    </row>
    <row r="102" spans="1:9" customFormat="1" ht="13.95" customHeight="1"/>
    <row r="103" spans="1:9" customFormat="1" ht="31.95" customHeight="1"/>
    <row r="104" spans="1:9" customFormat="1" ht="15" customHeight="1"/>
    <row r="105" spans="1:9" customFormat="1" ht="16.05" customHeight="1"/>
    <row r="106" spans="1:9" customFormat="1" ht="16.05" customHeight="1"/>
    <row r="107" spans="1:9" ht="14.4">
      <c r="A107"/>
      <c r="B107"/>
      <c r="C107"/>
      <c r="D107"/>
      <c r="E107"/>
      <c r="F107"/>
      <c r="G107"/>
    </row>
    <row r="108" spans="1:9" ht="14.4">
      <c r="A108"/>
      <c r="B108"/>
      <c r="C108"/>
      <c r="D108"/>
      <c r="E108"/>
      <c r="F108"/>
      <c r="G108"/>
    </row>
  </sheetData>
  <mergeCells count="134">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B85:C85"/>
    <mergeCell ref="A77:G78"/>
    <mergeCell ref="E80:G80"/>
    <mergeCell ref="E81:G82"/>
    <mergeCell ref="E83:F83"/>
    <mergeCell ref="A73:A75"/>
    <mergeCell ref="A72:G72"/>
    <mergeCell ref="A71:G71"/>
    <mergeCell ref="B84:C84"/>
    <mergeCell ref="A79:G79"/>
    <mergeCell ref="C73:C74"/>
    <mergeCell ref="D73:D74"/>
    <mergeCell ref="A33:B33"/>
    <mergeCell ref="A32:B32"/>
    <mergeCell ref="A31:B31"/>
    <mergeCell ref="A30:B30"/>
    <mergeCell ref="A29:B29"/>
    <mergeCell ref="E39:E40"/>
    <mergeCell ref="A50:G50"/>
    <mergeCell ref="A51:B52"/>
    <mergeCell ref="C51:D52"/>
    <mergeCell ref="A46:B46"/>
    <mergeCell ref="A45:B45"/>
    <mergeCell ref="A44:B44"/>
    <mergeCell ref="A37:G37"/>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topLeftCell="A85" zoomScaleSheetLayoutView="100" workbookViewId="0">
      <selection activeCell="K67" sqref="K67"/>
    </sheetView>
  </sheetViews>
  <sheetFormatPr defaultColWidth="8.77734375" defaultRowHeight="13.8"/>
  <cols>
    <col min="1" max="1" width="10" style="222" customWidth="1"/>
    <col min="2" max="8" width="17" style="222" customWidth="1"/>
    <col min="9" max="16384" width="8.77734375" style="222"/>
  </cols>
  <sheetData>
    <row r="1" spans="1:8" ht="21">
      <c r="A1" s="1223" t="s">
        <v>19</v>
      </c>
      <c r="B1" s="1224"/>
      <c r="C1" s="1224"/>
      <c r="D1" s="1224"/>
      <c r="E1" s="1224"/>
      <c r="F1" s="1224"/>
      <c r="G1" s="1224"/>
      <c r="H1" s="1225"/>
    </row>
    <row r="2" spans="1:8" ht="21">
      <c r="A2" s="1237" t="s">
        <v>164</v>
      </c>
      <c r="B2" s="1238"/>
      <c r="C2" s="1238"/>
      <c r="D2" s="1238"/>
      <c r="E2" s="1238"/>
      <c r="F2" s="1238"/>
      <c r="G2" s="1238"/>
      <c r="H2" s="1239"/>
    </row>
    <row r="3" spans="1:8" ht="21.6" thickBot="1">
      <c r="A3" s="1750" t="str">
        <f>'Forside 1'!A6:I6</f>
        <v>Gældende fra 1. august 2026</v>
      </c>
      <c r="B3" s="1751"/>
      <c r="C3" s="1751"/>
      <c r="D3" s="1751"/>
      <c r="E3" s="1751"/>
      <c r="F3" s="1751"/>
      <c r="G3" s="1751"/>
      <c r="H3" s="1752"/>
    </row>
    <row r="4" spans="1:8" ht="18.75" customHeight="1" thickBot="1">
      <c r="A4" s="600"/>
      <c r="B4" s="600"/>
      <c r="C4" s="600"/>
      <c r="D4" s="600"/>
      <c r="E4" s="600"/>
      <c r="F4" s="600"/>
      <c r="G4" s="600"/>
      <c r="H4" s="600"/>
    </row>
    <row r="5" spans="1:8" ht="41.25" customHeight="1" thickBot="1">
      <c r="A5" s="1755" t="s">
        <v>451</v>
      </c>
      <c r="B5" s="1756"/>
      <c r="C5" s="1756"/>
      <c r="D5" s="1756"/>
      <c r="E5" s="1756"/>
      <c r="F5" s="1757"/>
      <c r="G5" s="1735" t="s">
        <v>90</v>
      </c>
      <c r="H5" s="1736"/>
    </row>
    <row r="6" spans="1:8" ht="25.95" customHeight="1" thickBot="1">
      <c r="A6" s="1732" t="s">
        <v>450</v>
      </c>
      <c r="B6" s="1733"/>
      <c r="C6" s="1733"/>
      <c r="D6" s="1733"/>
      <c r="E6" s="1733"/>
      <c r="F6" s="1733"/>
      <c r="G6" s="1733"/>
      <c r="H6" s="1734"/>
    </row>
    <row r="7" spans="1:8">
      <c r="A7" s="674" t="s">
        <v>57</v>
      </c>
      <c r="B7" s="674" t="s">
        <v>72</v>
      </c>
      <c r="C7" s="674" t="s">
        <v>73</v>
      </c>
      <c r="D7" s="674" t="s">
        <v>74</v>
      </c>
      <c r="E7" s="674" t="s">
        <v>75</v>
      </c>
      <c r="F7" s="674" t="s">
        <v>76</v>
      </c>
      <c r="G7" s="674" t="s">
        <v>210</v>
      </c>
      <c r="H7" s="665">
        <v>0.15</v>
      </c>
    </row>
    <row r="8" spans="1:8" ht="15">
      <c r="A8" s="537">
        <v>14</v>
      </c>
      <c r="B8" s="538">
        <f>+'Statens skalatrin'!D46</f>
        <v>24149.58</v>
      </c>
      <c r="C8" s="538">
        <f>+'Statens skalatrin'!F46</f>
        <v>24652.5</v>
      </c>
      <c r="D8" s="538">
        <f>+'Statens skalatrin'!H46</f>
        <v>25000.67</v>
      </c>
      <c r="E8" s="538">
        <f>+'Statens skalatrin'!J46</f>
        <v>25503.42</v>
      </c>
      <c r="F8" s="538">
        <f>+'Statens skalatrin'!L46</f>
        <v>25851.58</v>
      </c>
      <c r="G8" s="539">
        <f>+'Statens skalatrin'!O46</f>
        <v>22579.13</v>
      </c>
      <c r="H8" s="539">
        <f>ROUND(G8*$H$7,2)</f>
        <v>3386.87</v>
      </c>
    </row>
    <row r="9" spans="1:8" ht="15">
      <c r="A9" s="537">
        <v>15</v>
      </c>
      <c r="B9" s="538">
        <f>+'Statens skalatrin'!D49</f>
        <v>24578</v>
      </c>
      <c r="C9" s="538">
        <f>+'Statens skalatrin'!F49</f>
        <v>25093.5</v>
      </c>
      <c r="D9" s="538">
        <f>+'Statens skalatrin'!H49</f>
        <v>25450.25</v>
      </c>
      <c r="E9" s="538">
        <f>+'Statens skalatrin'!J49</f>
        <v>25965.919999999998</v>
      </c>
      <c r="F9" s="538">
        <f>+'Statens skalatrin'!L49</f>
        <v>26322.83</v>
      </c>
      <c r="G9" s="539">
        <f>+'Statens skalatrin'!O49</f>
        <v>22980.45</v>
      </c>
      <c r="H9" s="539">
        <f t="shared" ref="H9:H32" si="0">ROUND(G9*$H$7,2)</f>
        <v>3447.07</v>
      </c>
    </row>
    <row r="10" spans="1:8" ht="15">
      <c r="A10" s="537">
        <v>16</v>
      </c>
      <c r="B10" s="538">
        <f>'Statens skalatrin'!D52</f>
        <v>24906.33</v>
      </c>
      <c r="C10" s="538">
        <f>+'Statens skalatrin'!F52</f>
        <v>25434.92</v>
      </c>
      <c r="D10" s="538">
        <f>+'Statens skalatrin'!H52</f>
        <v>25800.92</v>
      </c>
      <c r="E10" s="538">
        <f>+'Statens skalatrin'!J52</f>
        <v>26329.42</v>
      </c>
      <c r="F10" s="538">
        <f>+'Statens skalatrin'!L52</f>
        <v>26695.5</v>
      </c>
      <c r="G10" s="539">
        <f>+'Statens skalatrin'!O52</f>
        <v>23393.06</v>
      </c>
      <c r="H10" s="539">
        <f t="shared" si="0"/>
        <v>3508.96</v>
      </c>
    </row>
    <row r="11" spans="1:8" ht="15">
      <c r="A11" s="537">
        <v>17</v>
      </c>
      <c r="B11" s="538">
        <f>'Statens skalatrin'!D55</f>
        <v>25358.5</v>
      </c>
      <c r="C11" s="538">
        <f>+'Statens skalatrin'!F55</f>
        <v>25900.58</v>
      </c>
      <c r="D11" s="538">
        <f>+'Statens skalatrin'!H55</f>
        <v>26275.83</v>
      </c>
      <c r="E11" s="538">
        <f>+'Statens skalatrin'!J55</f>
        <v>26817.83</v>
      </c>
      <c r="F11" s="538">
        <f>+'Statens skalatrin'!L55</f>
        <v>27192.92</v>
      </c>
      <c r="G11" s="539">
        <f>+'Statens skalatrin'!O55</f>
        <v>23816.77</v>
      </c>
      <c r="H11" s="539">
        <f t="shared" si="0"/>
        <v>3572.52</v>
      </c>
    </row>
    <row r="12" spans="1:8" ht="15">
      <c r="A12" s="537">
        <v>18</v>
      </c>
      <c r="B12" s="538">
        <f>'Statens skalatrin'!D58</f>
        <v>25823.42</v>
      </c>
      <c r="C12" s="538">
        <f>+'Statens skalatrin'!F58</f>
        <v>26379.33</v>
      </c>
      <c r="D12" s="538">
        <f>+'Statens skalatrin'!H58</f>
        <v>26764</v>
      </c>
      <c r="E12" s="538">
        <f>+'Statens skalatrin'!J58</f>
        <v>27319.75</v>
      </c>
      <c r="F12" s="538">
        <f>+'Statens skalatrin'!L58</f>
        <v>27704.42</v>
      </c>
      <c r="G12" s="539">
        <f>+'Statens skalatrin'!O58</f>
        <v>24252.36</v>
      </c>
      <c r="H12" s="539">
        <f t="shared" si="0"/>
        <v>3637.85</v>
      </c>
    </row>
    <row r="13" spans="1:8" ht="15">
      <c r="A13" s="537">
        <v>19</v>
      </c>
      <c r="B13" s="538">
        <f>'Statens skalatrin'!D61</f>
        <v>26170.42</v>
      </c>
      <c r="C13" s="538">
        <f>+'Statens skalatrin'!F61</f>
        <v>26740.33</v>
      </c>
      <c r="D13" s="538">
        <f>+'Statens skalatrin'!H61</f>
        <v>27134.75</v>
      </c>
      <c r="E13" s="538">
        <f>+'Statens skalatrin'!J61</f>
        <v>27704.83</v>
      </c>
      <c r="F13" s="538">
        <f>+'Statens skalatrin'!L61</f>
        <v>28099.5</v>
      </c>
      <c r="G13" s="539">
        <f>+'Statens skalatrin'!O61</f>
        <v>24699.82</v>
      </c>
      <c r="H13" s="539">
        <f t="shared" si="0"/>
        <v>3704.97</v>
      </c>
    </row>
    <row r="14" spans="1:8" ht="15">
      <c r="A14" s="537">
        <v>20</v>
      </c>
      <c r="B14" s="538">
        <f>+'Statens skalatrin'!D64</f>
        <v>26530.67</v>
      </c>
      <c r="C14" s="538">
        <f>+'Statens skalatrin'!F64</f>
        <v>27115</v>
      </c>
      <c r="D14" s="538">
        <f>+'Statens skalatrin'!H64</f>
        <v>27519.67</v>
      </c>
      <c r="E14" s="538">
        <f>+'Statens skalatrin'!J64</f>
        <v>28104.080000000002</v>
      </c>
      <c r="F14" s="538">
        <f>+'Statens skalatrin'!L64</f>
        <v>28508.5</v>
      </c>
      <c r="G14" s="539">
        <f>+'Statens skalatrin'!O64</f>
        <v>25159.53</v>
      </c>
      <c r="H14" s="539">
        <f t="shared" si="0"/>
        <v>3773.93</v>
      </c>
    </row>
    <row r="15" spans="1:8" ht="15">
      <c r="A15" s="537">
        <v>21</v>
      </c>
      <c r="B15" s="538">
        <f>+'Statens skalatrin'!D67</f>
        <v>26969.83</v>
      </c>
      <c r="C15" s="538">
        <f>+'Statens skalatrin'!F67</f>
        <v>27569.25</v>
      </c>
      <c r="D15" s="538">
        <f>+'Statens skalatrin'!H67</f>
        <v>27984.17</v>
      </c>
      <c r="E15" s="538">
        <f>+'Statens skalatrin'!J67</f>
        <v>28583.5</v>
      </c>
      <c r="F15" s="538">
        <f>+'Statens skalatrin'!L67</f>
        <v>28998.5</v>
      </c>
      <c r="G15" s="539">
        <f>+'Statens skalatrin'!O67</f>
        <v>25632.07</v>
      </c>
      <c r="H15" s="539">
        <f t="shared" si="0"/>
        <v>3844.81</v>
      </c>
    </row>
    <row r="16" spans="1:8" ht="15">
      <c r="A16" s="537">
        <v>22</v>
      </c>
      <c r="B16" s="538">
        <f>+'Statens skalatrin'!D70</f>
        <v>27376.75</v>
      </c>
      <c r="C16" s="538">
        <f>+'Statens skalatrin'!F70</f>
        <v>27976.080000000002</v>
      </c>
      <c r="D16" s="538">
        <f>+'Statens skalatrin'!H70</f>
        <v>28391.08</v>
      </c>
      <c r="E16" s="538">
        <f>+'Statens skalatrin'!J70</f>
        <v>28990.42</v>
      </c>
      <c r="F16" s="538">
        <f>+'Statens skalatrin'!L70</f>
        <v>29405.42</v>
      </c>
      <c r="G16" s="539">
        <f>+'Statens skalatrin'!O70</f>
        <v>26104.22</v>
      </c>
      <c r="H16" s="539">
        <f t="shared" si="0"/>
        <v>3915.63</v>
      </c>
    </row>
    <row r="17" spans="1:8" ht="15">
      <c r="A17" s="537">
        <v>23</v>
      </c>
      <c r="B17" s="538">
        <f>+'Statens skalatrin'!D73</f>
        <v>27812.83</v>
      </c>
      <c r="C17" s="538">
        <f>+'Statens skalatrin'!F73</f>
        <v>28395.5</v>
      </c>
      <c r="D17" s="538">
        <f>+'Statens skalatrin'!H73</f>
        <v>28799.25</v>
      </c>
      <c r="E17" s="538">
        <f>+'Statens skalatrin'!J73</f>
        <v>29382.17</v>
      </c>
      <c r="F17" s="538">
        <f>+'Statens skalatrin'!L73</f>
        <v>29785.58</v>
      </c>
      <c r="G17" s="539">
        <f>+'Statens skalatrin'!O73</f>
        <v>26575.22</v>
      </c>
      <c r="H17" s="539">
        <f t="shared" si="0"/>
        <v>3986.28</v>
      </c>
    </row>
    <row r="18" spans="1:8" ht="15">
      <c r="A18" s="537">
        <v>24</v>
      </c>
      <c r="B18" s="538">
        <f>+'Statens skalatrin'!D76</f>
        <v>28262.17</v>
      </c>
      <c r="C18" s="538">
        <f>+'Statens skalatrin'!F76</f>
        <v>28828.5</v>
      </c>
      <c r="D18" s="538">
        <f>+'Statens skalatrin'!H76</f>
        <v>29220.67</v>
      </c>
      <c r="E18" s="538">
        <f>+'Statens skalatrin'!J76</f>
        <v>29787.17</v>
      </c>
      <c r="F18" s="538">
        <f>+'Statens skalatrin'!L76</f>
        <v>30179.25</v>
      </c>
      <c r="G18" s="539">
        <f>+'Statens skalatrin'!O76</f>
        <v>27059.61</v>
      </c>
      <c r="H18" s="539">
        <f t="shared" si="0"/>
        <v>4058.94</v>
      </c>
    </row>
    <row r="19" spans="1:8" ht="15">
      <c r="A19" s="537">
        <v>25</v>
      </c>
      <c r="B19" s="538">
        <f>+'Statens skalatrin'!D79</f>
        <v>28721.5</v>
      </c>
      <c r="C19" s="538">
        <f>+'Statens skalatrin'!F79</f>
        <v>29270.25</v>
      </c>
      <c r="D19" s="538">
        <f>+'Statens skalatrin'!H79</f>
        <v>29650.17</v>
      </c>
      <c r="E19" s="538">
        <f>+'Statens skalatrin'!J79</f>
        <v>30198.92</v>
      </c>
      <c r="F19" s="538">
        <f>+'Statens skalatrin'!L79</f>
        <v>30578.75</v>
      </c>
      <c r="G19" s="539">
        <f>+'Statens skalatrin'!O79</f>
        <v>27556.560000000001</v>
      </c>
      <c r="H19" s="539">
        <f t="shared" si="0"/>
        <v>4133.4799999999996</v>
      </c>
    </row>
    <row r="20" spans="1:8" ht="15">
      <c r="A20" s="537">
        <v>26</v>
      </c>
      <c r="B20" s="538">
        <f>+'Statens skalatrin'!D82</f>
        <v>29191.5</v>
      </c>
      <c r="C20" s="538">
        <f>+'Statens skalatrin'!F82</f>
        <v>29721.17</v>
      </c>
      <c r="D20" s="538">
        <f>+'Statens skalatrin'!H82</f>
        <v>30087.919999999998</v>
      </c>
      <c r="E20" s="538">
        <f>+'Statens skalatrin'!J82</f>
        <v>30617.67</v>
      </c>
      <c r="F20" s="538">
        <f>+'Statens skalatrin'!L82</f>
        <v>30984.33</v>
      </c>
      <c r="G20" s="539">
        <f>+'Statens skalatrin'!O82</f>
        <v>28066.57</v>
      </c>
      <c r="H20" s="539">
        <f t="shared" si="0"/>
        <v>4209.99</v>
      </c>
    </row>
    <row r="21" spans="1:8" ht="15">
      <c r="A21" s="537">
        <v>27</v>
      </c>
      <c r="B21" s="538">
        <f>+'Statens skalatrin'!D85</f>
        <v>29671.58</v>
      </c>
      <c r="C21" s="538">
        <f>+'Statens skalatrin'!F85</f>
        <v>30180.92</v>
      </c>
      <c r="D21" s="538">
        <f>+'Statens skalatrin'!H85</f>
        <v>30533.75</v>
      </c>
      <c r="E21" s="538">
        <f>+'Statens skalatrin'!J85</f>
        <v>31043.17</v>
      </c>
      <c r="F21" s="538">
        <f>+'Statens skalatrin'!L85</f>
        <v>31395.919999999998</v>
      </c>
      <c r="G21" s="539">
        <f>+'Statens skalatrin'!O85</f>
        <v>28589.79</v>
      </c>
      <c r="H21" s="539">
        <f t="shared" si="0"/>
        <v>4288.47</v>
      </c>
    </row>
    <row r="22" spans="1:8" ht="15">
      <c r="A22" s="537">
        <v>28</v>
      </c>
      <c r="B22" s="538">
        <f>+'Statens skalatrin'!D88</f>
        <v>30162.5</v>
      </c>
      <c r="C22" s="538">
        <f>+'Statens skalatrin'!F88</f>
        <v>30650.33</v>
      </c>
      <c r="D22" s="538">
        <f>+'Statens skalatrin'!H88</f>
        <v>30988.080000000002</v>
      </c>
      <c r="E22" s="538">
        <f>+'Statens skalatrin'!J88</f>
        <v>31475.83</v>
      </c>
      <c r="F22" s="538">
        <f>+'Statens skalatrin'!L88</f>
        <v>31813.67</v>
      </c>
      <c r="G22" s="539">
        <f>+'Statens skalatrin'!O88</f>
        <v>29126.9</v>
      </c>
      <c r="H22" s="539">
        <f t="shared" si="0"/>
        <v>4369.04</v>
      </c>
    </row>
    <row r="23" spans="1:8" ht="15">
      <c r="A23" s="537">
        <v>29</v>
      </c>
      <c r="B23" s="538">
        <f>+'Statens skalatrin'!D91</f>
        <v>30664.5</v>
      </c>
      <c r="C23" s="538">
        <f>+'Statens skalatrin'!F91</f>
        <v>31129.17</v>
      </c>
      <c r="D23" s="538">
        <f>+'Statens skalatrin'!H91</f>
        <v>31451</v>
      </c>
      <c r="E23" s="538">
        <f>+'Statens skalatrin'!J91</f>
        <v>31915.75</v>
      </c>
      <c r="F23" s="538">
        <f>+'Statens skalatrin'!L91</f>
        <v>32237.42</v>
      </c>
      <c r="G23" s="539">
        <f>+'Statens skalatrin'!O91</f>
        <v>29677.85</v>
      </c>
      <c r="H23" s="539">
        <f t="shared" si="0"/>
        <v>4451.68</v>
      </c>
    </row>
    <row r="24" spans="1:8" ht="15">
      <c r="A24" s="537">
        <v>30</v>
      </c>
      <c r="B24" s="538">
        <f>+'Statens skalatrin'!D94</f>
        <v>31177.919999999998</v>
      </c>
      <c r="C24" s="538">
        <f>+'Statens skalatrin'!F94</f>
        <v>31618</v>
      </c>
      <c r="D24" s="538">
        <f>+'Statens skalatrin'!H94</f>
        <v>31922.58</v>
      </c>
      <c r="E24" s="538">
        <f>+'Statens skalatrin'!J94</f>
        <v>32362.5</v>
      </c>
      <c r="F24" s="538">
        <f>+'Statens skalatrin'!L94</f>
        <v>32667.25</v>
      </c>
      <c r="G24" s="539">
        <f>+'Statens skalatrin'!O94</f>
        <v>30243.34</v>
      </c>
      <c r="H24" s="539">
        <f t="shared" si="0"/>
        <v>4536.5</v>
      </c>
    </row>
    <row r="25" spans="1:8" ht="15">
      <c r="A25" s="537">
        <v>31</v>
      </c>
      <c r="B25" s="538">
        <f>+'Statens skalatrin'!D97</f>
        <v>31702.25</v>
      </c>
      <c r="C25" s="538">
        <f>+'Statens skalatrin'!F97</f>
        <v>32116.17</v>
      </c>
      <c r="D25" s="538">
        <f>+'Statens skalatrin'!H97</f>
        <v>32402.83</v>
      </c>
      <c r="E25" s="538">
        <f>+'Statens skalatrin'!J97</f>
        <v>32816.75</v>
      </c>
      <c r="F25" s="538">
        <f>+'Statens skalatrin'!L97</f>
        <v>33103.33</v>
      </c>
      <c r="G25" s="539">
        <f>+'Statens skalatrin'!O97</f>
        <v>30823.49</v>
      </c>
      <c r="H25" s="539">
        <f t="shared" si="0"/>
        <v>4623.5200000000004</v>
      </c>
    </row>
    <row r="26" spans="1:8" ht="15">
      <c r="A26" s="537">
        <v>32</v>
      </c>
      <c r="B26" s="538">
        <f>+'Statens skalatrin'!D100</f>
        <v>32238.83</v>
      </c>
      <c r="C26" s="538">
        <f>+'Statens skalatrin'!F100</f>
        <v>32624.75</v>
      </c>
      <c r="D26" s="538">
        <f>+'Statens skalatrin'!H100</f>
        <v>32892.080000000002</v>
      </c>
      <c r="E26" s="538">
        <f>+'Statens skalatrin'!J100</f>
        <v>33278.25</v>
      </c>
      <c r="F26" s="538">
        <f>+'Statens skalatrin'!L100</f>
        <v>33545.42</v>
      </c>
      <c r="G26" s="539">
        <f>+'Statens skalatrin'!O100</f>
        <v>31418.98</v>
      </c>
      <c r="H26" s="539">
        <f t="shared" si="0"/>
        <v>4712.8500000000004</v>
      </c>
    </row>
    <row r="27" spans="1:8" ht="15">
      <c r="A27" s="537">
        <v>33</v>
      </c>
      <c r="B27" s="538">
        <f>+'Statens skalatrin'!D103</f>
        <v>32786.67</v>
      </c>
      <c r="C27" s="538">
        <f>+'Statens skalatrin'!F103</f>
        <v>33143.08</v>
      </c>
      <c r="D27" s="538">
        <f>+'Statens skalatrin'!H103</f>
        <v>33390.080000000002</v>
      </c>
      <c r="E27" s="538">
        <f>+'Statens skalatrin'!J103</f>
        <v>33746.58</v>
      </c>
      <c r="F27" s="538">
        <f>+'Statens skalatrin'!L103</f>
        <v>33993.5</v>
      </c>
      <c r="G27" s="539">
        <f>+'Statens skalatrin'!O103</f>
        <v>32029.759999999998</v>
      </c>
      <c r="H27" s="539">
        <f t="shared" si="0"/>
        <v>4804.46</v>
      </c>
    </row>
    <row r="28" spans="1:8" ht="15">
      <c r="A28" s="537">
        <v>34</v>
      </c>
      <c r="B28" s="538">
        <f>+'Statens skalatrin'!D106</f>
        <v>33347.08</v>
      </c>
      <c r="C28" s="538">
        <f>+'Statens skalatrin'!F106</f>
        <v>33672.33</v>
      </c>
      <c r="D28" s="538">
        <f>+'Statens skalatrin'!H106</f>
        <v>33897.5</v>
      </c>
      <c r="E28" s="538">
        <f>+'Statens skalatrin'!J106</f>
        <v>34222.42</v>
      </c>
      <c r="F28" s="538">
        <f>+'Statens skalatrin'!L106</f>
        <v>34447.58</v>
      </c>
      <c r="G28" s="539">
        <f>+'Statens skalatrin'!O106</f>
        <v>32656.69</v>
      </c>
      <c r="H28" s="539">
        <f t="shared" si="0"/>
        <v>4898.5</v>
      </c>
    </row>
    <row r="29" spans="1:8" ht="15">
      <c r="A29" s="537">
        <v>35</v>
      </c>
      <c r="B29" s="538">
        <f>+'Statens skalatrin'!D109</f>
        <v>33919.919999999998</v>
      </c>
      <c r="C29" s="538">
        <f>+'Statens skalatrin'!F109</f>
        <v>34212.080000000002</v>
      </c>
      <c r="D29" s="538">
        <f>+'Statens skalatrin'!H109</f>
        <v>34414.080000000002</v>
      </c>
      <c r="E29" s="538">
        <f>+'Statens skalatrin'!J109</f>
        <v>34706.17</v>
      </c>
      <c r="F29" s="538">
        <f>+'Statens skalatrin'!L109</f>
        <v>34908.17</v>
      </c>
      <c r="G29" s="539">
        <f>+'Statens skalatrin'!O109</f>
        <v>33300.07</v>
      </c>
      <c r="H29" s="539">
        <f t="shared" si="0"/>
        <v>4995.01</v>
      </c>
    </row>
    <row r="30" spans="1:8" ht="15">
      <c r="A30" s="537">
        <v>36</v>
      </c>
      <c r="B30" s="538">
        <f>'Statens skalatrin'!D112</f>
        <v>34505.33</v>
      </c>
      <c r="C30" s="538">
        <f>+'Statens skalatrin'!F112</f>
        <v>34762.080000000002</v>
      </c>
      <c r="D30" s="538">
        <f>+'Statens skalatrin'!H112</f>
        <v>34939.919999999998</v>
      </c>
      <c r="E30" s="538">
        <f>+'Statens skalatrin'!J112</f>
        <v>35196.75</v>
      </c>
      <c r="F30" s="538">
        <f>+'Statens skalatrin'!L112</f>
        <v>35374.5</v>
      </c>
      <c r="G30" s="539">
        <f>+'Statens skalatrin'!O112</f>
        <v>33960.03</v>
      </c>
      <c r="H30" s="539">
        <f t="shared" si="0"/>
        <v>5094</v>
      </c>
    </row>
    <row r="31" spans="1:8" ht="15">
      <c r="A31" s="537">
        <v>37</v>
      </c>
      <c r="B31" s="538">
        <f>+'Statens skalatrin'!D115</f>
        <v>35103.58</v>
      </c>
      <c r="C31" s="538">
        <f>+'Statens skalatrin'!F115</f>
        <v>35323.25</v>
      </c>
      <c r="D31" s="538">
        <f>+'Statens skalatrin'!H115</f>
        <v>35475.17</v>
      </c>
      <c r="E31" s="538">
        <f>+'Statens skalatrin'!J115</f>
        <v>35694.83</v>
      </c>
      <c r="F31" s="538">
        <f>+'Statens skalatrin'!L115</f>
        <v>35846.92</v>
      </c>
      <c r="G31" s="539">
        <f>+'Statens skalatrin'!O115</f>
        <v>34637.230000000003</v>
      </c>
      <c r="H31" s="539">
        <f t="shared" si="0"/>
        <v>5195.58</v>
      </c>
    </row>
    <row r="32" spans="1:8" ht="15">
      <c r="A32" s="892">
        <v>38</v>
      </c>
      <c r="B32" s="539">
        <f>+'Statens skalatrin'!D118</f>
        <v>35735.42</v>
      </c>
      <c r="C32" s="539">
        <f>+'Statens skalatrin'!F118</f>
        <v>35919.17</v>
      </c>
      <c r="D32" s="539">
        <f>+'Statens skalatrin'!H118</f>
        <v>36046.42</v>
      </c>
      <c r="E32" s="539">
        <f>+'Statens skalatrin'!J118</f>
        <v>36230.17</v>
      </c>
      <c r="F32" s="539">
        <f>+'Statens skalatrin'!L118</f>
        <v>36357.58</v>
      </c>
      <c r="G32" s="539">
        <f>+'Statens skalatrin'!O118</f>
        <v>35345.089999999997</v>
      </c>
      <c r="H32" s="539">
        <f t="shared" si="0"/>
        <v>5301.76</v>
      </c>
    </row>
    <row r="33" spans="1:8" ht="15">
      <c r="A33" s="944">
        <v>39</v>
      </c>
      <c r="B33" s="539">
        <f>+'Statens skalatrin'!D121</f>
        <v>36373.42</v>
      </c>
      <c r="C33" s="539">
        <f>+'Statens skalatrin'!F121</f>
        <v>36515.08</v>
      </c>
      <c r="D33" s="539">
        <f>+'Statens skalatrin'!H121</f>
        <v>36613.08</v>
      </c>
      <c r="E33" s="539">
        <f>+'Statens skalatrin'!J121</f>
        <v>36754.5</v>
      </c>
      <c r="F33" s="539">
        <f>+'Statens skalatrin'!L121</f>
        <v>36852.58</v>
      </c>
      <c r="G33" s="539">
        <f>+'Statens skalatrin'!O121</f>
        <v>36072.99</v>
      </c>
      <c r="H33" s="539">
        <f t="shared" ref="H33:H34" si="1">ROUND(G33*$H$7,2)</f>
        <v>5410.95</v>
      </c>
    </row>
    <row r="34" spans="1:8" ht="15">
      <c r="A34" s="892">
        <v>40</v>
      </c>
      <c r="B34" s="539">
        <f>+'Statens skalatrin'!D124</f>
        <v>37025.42</v>
      </c>
      <c r="C34" s="539">
        <f>+'Statens skalatrin'!F124</f>
        <v>37122.17</v>
      </c>
      <c r="D34" s="539">
        <f>+'Statens skalatrin'!H124</f>
        <v>37189.25</v>
      </c>
      <c r="E34" s="539">
        <f>+'Statens skalatrin'!J124</f>
        <v>37286</v>
      </c>
      <c r="F34" s="539">
        <f>+'Statens skalatrin'!L124</f>
        <v>37353.08</v>
      </c>
      <c r="G34" s="539">
        <f>+'Statens skalatrin'!O124</f>
        <v>36819.730000000003</v>
      </c>
      <c r="H34" s="539">
        <f t="shared" si="1"/>
        <v>5522.96</v>
      </c>
    </row>
    <row r="35" spans="1:8" ht="15">
      <c r="A35" s="969">
        <v>41</v>
      </c>
      <c r="B35" s="539">
        <f>+'Statens skalatrin'!D127</f>
        <v>37691.58</v>
      </c>
      <c r="C35" s="539">
        <f>+'Statens skalatrin'!F127</f>
        <v>37741.17</v>
      </c>
      <c r="D35" s="539">
        <f>+'Statens skalatrin'!H127</f>
        <v>37775.67</v>
      </c>
      <c r="E35" s="539">
        <f>+'Statens skalatrin'!J127</f>
        <v>37825.33</v>
      </c>
      <c r="F35" s="539">
        <f>+'Statens skalatrin'!L127</f>
        <v>37859.58</v>
      </c>
      <c r="G35" s="539">
        <f>+'Statens skalatrin'!O127</f>
        <v>37585.96</v>
      </c>
      <c r="H35" s="539">
        <f>ROUND(G35*$H$7,2)</f>
        <v>5637.89</v>
      </c>
    </row>
    <row r="36" spans="1:8" ht="15.6" thickBot="1">
      <c r="A36" s="893">
        <v>42</v>
      </c>
      <c r="B36" s="970">
        <f>+'Statens skalatrin'!D130</f>
        <v>38372.25</v>
      </c>
      <c r="C36" s="970">
        <f>+'Statens skalatrin'!F130</f>
        <v>38372.25</v>
      </c>
      <c r="D36" s="970">
        <f>+'Statens skalatrin'!H130</f>
        <v>38372.25</v>
      </c>
      <c r="E36" s="970">
        <f>+'Statens skalatrin'!J130</f>
        <v>38372.25</v>
      </c>
      <c r="F36" s="970">
        <f>+'Statens skalatrin'!L130</f>
        <v>38372.25</v>
      </c>
      <c r="G36" s="970">
        <f>+'Statens skalatrin'!O130</f>
        <v>38372.160000000003</v>
      </c>
      <c r="H36" s="970">
        <f t="shared" ref="H36" si="2">ROUND(G36*$H$7,2)</f>
        <v>5755.82</v>
      </c>
    </row>
    <row r="37" spans="1:8" ht="21.6" thickBot="1">
      <c r="A37" s="1758" t="s">
        <v>452</v>
      </c>
      <c r="B37" s="1759"/>
      <c r="C37" s="1759"/>
      <c r="D37" s="1759"/>
      <c r="E37" s="1759"/>
      <c r="F37" s="1760"/>
      <c r="G37" s="1753" t="s">
        <v>372</v>
      </c>
      <c r="H37" s="1754"/>
    </row>
    <row r="38" spans="1:8" ht="25.95" customHeight="1" thickBot="1">
      <c r="A38" s="1727" t="s">
        <v>450</v>
      </c>
      <c r="B38" s="1728"/>
      <c r="C38" s="1728"/>
      <c r="D38" s="1728"/>
      <c r="E38" s="1728"/>
      <c r="F38" s="1728"/>
      <c r="G38" s="1728"/>
      <c r="H38" s="1729"/>
    </row>
    <row r="39" spans="1:8" ht="25.95" customHeight="1" thickBot="1">
      <c r="A39" s="492" t="s">
        <v>57</v>
      </c>
      <c r="B39" s="492" t="s">
        <v>72</v>
      </c>
      <c r="C39" s="492" t="s">
        <v>73</v>
      </c>
      <c r="D39" s="492" t="s">
        <v>74</v>
      </c>
      <c r="E39" s="492" t="s">
        <v>75</v>
      </c>
      <c r="F39" s="492" t="s">
        <v>76</v>
      </c>
      <c r="G39" s="492" t="s">
        <v>210</v>
      </c>
      <c r="H39" s="673">
        <v>0.16500000000000001</v>
      </c>
    </row>
    <row r="40" spans="1:8" ht="16.5" customHeight="1">
      <c r="A40" s="598">
        <v>43</v>
      </c>
      <c r="B40" s="540">
        <f>'Statens skalatrin'!D133</f>
        <v>39224.17</v>
      </c>
      <c r="C40" s="540">
        <f>+'Statens skalatrin'!F133</f>
        <v>39224.17</v>
      </c>
      <c r="D40" s="540">
        <f>+'Statens skalatrin'!H133</f>
        <v>39224.17</v>
      </c>
      <c r="E40" s="540">
        <f>+'Statens skalatrin'!J133</f>
        <v>39224.17</v>
      </c>
      <c r="F40" s="540">
        <f>+'Statens skalatrin'!L133</f>
        <v>39224.17</v>
      </c>
      <c r="G40" s="540">
        <f>+'Statens skalatrin'!O133</f>
        <v>39224.080000000002</v>
      </c>
      <c r="H40" s="541">
        <f>ROUND(G40*$H$39,2)</f>
        <v>6471.97</v>
      </c>
    </row>
    <row r="41" spans="1:8" ht="15">
      <c r="A41" s="537">
        <v>44</v>
      </c>
      <c r="B41" s="538">
        <f>'Statens skalatrin'!D136</f>
        <v>40099.25</v>
      </c>
      <c r="C41" s="538">
        <f>+'Statens skalatrin'!F136</f>
        <v>40099.25</v>
      </c>
      <c r="D41" s="538">
        <f>+'Statens skalatrin'!H136</f>
        <v>40099.25</v>
      </c>
      <c r="E41" s="538">
        <f>+'Statens skalatrin'!J136</f>
        <v>40099.25</v>
      </c>
      <c r="F41" s="538">
        <f>+'Statens skalatrin'!L136</f>
        <v>40099.25</v>
      </c>
      <c r="G41" s="538">
        <f>+'Statens skalatrin'!O136</f>
        <v>40099.269999999997</v>
      </c>
      <c r="H41" s="541">
        <f t="shared" ref="H41:H43" si="3">ROUND(G41*$H$39,2)</f>
        <v>6616.38</v>
      </c>
    </row>
    <row r="42" spans="1:8" ht="15">
      <c r="A42" s="537">
        <v>46</v>
      </c>
      <c r="B42" s="538">
        <f>'Statens skalatrin'!D142</f>
        <v>41922.92</v>
      </c>
      <c r="C42" s="538">
        <f>+'Statens skalatrin'!F142</f>
        <v>41922.92</v>
      </c>
      <c r="D42" s="538">
        <f>+'Statens skalatrin'!H142</f>
        <v>41922.92</v>
      </c>
      <c r="E42" s="538">
        <f>+'Statens skalatrin'!J142</f>
        <v>41922.92</v>
      </c>
      <c r="F42" s="538">
        <f>+'Statens skalatrin'!L142</f>
        <v>41922.92</v>
      </c>
      <c r="G42" s="538">
        <f>+'Statens skalatrin'!O142</f>
        <v>41922.870000000003</v>
      </c>
      <c r="H42" s="541">
        <f t="shared" si="3"/>
        <v>6917.27</v>
      </c>
    </row>
    <row r="43" spans="1:8" ht="15.6" thickBot="1">
      <c r="A43" s="542">
        <v>48</v>
      </c>
      <c r="B43" s="672">
        <f>'Statens skalatrin'!D148</f>
        <v>46793.08</v>
      </c>
      <c r="C43" s="672">
        <f>+'Statens skalatrin'!F148</f>
        <v>46793.08</v>
      </c>
      <c r="D43" s="672">
        <f>+'Statens skalatrin'!H148</f>
        <v>46793.08</v>
      </c>
      <c r="E43" s="672">
        <f>+'Statens skalatrin'!J148</f>
        <v>46793.08</v>
      </c>
      <c r="F43" s="672">
        <f>+'Statens skalatrin'!L148</f>
        <v>46793.08</v>
      </c>
      <c r="G43" s="672">
        <f>+'Statens skalatrin'!O148</f>
        <v>46792.98</v>
      </c>
      <c r="H43" s="541">
        <f t="shared" si="3"/>
        <v>7720.84</v>
      </c>
    </row>
    <row r="44" spans="1:8" ht="15" customHeight="1" thickBot="1">
      <c r="A44" s="1743"/>
      <c r="B44" s="1743"/>
      <c r="C44" s="1743"/>
      <c r="D44" s="1743"/>
      <c r="E44" s="1743"/>
      <c r="F44" s="1743"/>
      <c r="G44" s="1743"/>
      <c r="H44" s="1743"/>
    </row>
    <row r="45" spans="1:8" ht="17.399999999999999">
      <c r="A45" s="1114" t="s">
        <v>449</v>
      </c>
      <c r="B45" s="1115"/>
      <c r="C45" s="1115"/>
      <c r="D45" s="1115"/>
      <c r="E45" s="1115"/>
      <c r="F45" s="1115"/>
      <c r="G45" s="1115"/>
      <c r="H45" s="1116"/>
    </row>
    <row r="46" spans="1:8" ht="25.95" customHeight="1" thickBot="1">
      <c r="A46" s="1677" t="s">
        <v>284</v>
      </c>
      <c r="B46" s="1678"/>
      <c r="C46" s="1678"/>
      <c r="D46" s="1678"/>
      <c r="E46" s="1678"/>
      <c r="F46" s="1678"/>
      <c r="G46" s="1678"/>
      <c r="H46" s="1679"/>
    </row>
    <row r="47" spans="1:8" ht="25.95" customHeight="1">
      <c r="A47" s="926"/>
      <c r="B47" s="927"/>
      <c r="C47" s="928"/>
      <c r="D47" s="1762" t="s">
        <v>128</v>
      </c>
      <c r="E47" s="1763"/>
      <c r="F47" s="1762" t="s">
        <v>306</v>
      </c>
      <c r="G47" s="1763"/>
      <c r="H47" s="626" t="s">
        <v>253</v>
      </c>
    </row>
    <row r="48" spans="1:8" ht="15.75" customHeight="1" thickBot="1">
      <c r="A48" s="929"/>
      <c r="B48" s="930"/>
      <c r="C48" s="931"/>
      <c r="D48" s="1764">
        <v>40999</v>
      </c>
      <c r="E48" s="1765"/>
      <c r="F48" s="1764" t="str">
        <f>'Løntabel gældende fra'!D1</f>
        <v>01-08-2026</v>
      </c>
      <c r="G48" s="1765"/>
      <c r="H48" s="527" t="str">
        <f>'Løntabel gældende fra'!$D$1</f>
        <v>01-08-2026</v>
      </c>
    </row>
    <row r="49" spans="1:8" ht="15" customHeight="1">
      <c r="A49" s="1659" t="s">
        <v>503</v>
      </c>
      <c r="B49" s="1660"/>
      <c r="C49" s="1661"/>
      <c r="D49" s="1654">
        <v>4500</v>
      </c>
      <c r="E49" s="1655"/>
      <c r="F49" s="1744">
        <f>ROUND(+D49*(1+'Løntabel gældende fra'!$D$7/100),2)</f>
        <v>5729.42</v>
      </c>
      <c r="G49" s="1745">
        <f>+E49*(1+'Løntabel gældende fra'!$D$7/100)</f>
        <v>0</v>
      </c>
      <c r="H49" s="932">
        <f>ROUND(F49/12,2)</f>
        <v>477.45</v>
      </c>
    </row>
    <row r="50" spans="1:8" ht="15" customHeight="1" thickBot="1">
      <c r="A50" s="1656" t="s">
        <v>508</v>
      </c>
      <c r="B50" s="1657"/>
      <c r="C50" s="1658"/>
      <c r="D50" s="1665">
        <v>4398</v>
      </c>
      <c r="E50" s="1666"/>
      <c r="F50" s="1693">
        <f>ROUND(+D50*(1+'Løntabel gældende fra'!$D$7/100),2)</f>
        <v>5599.55</v>
      </c>
      <c r="G50" s="1694">
        <f>+E50*(1+'Løntabel gældende fra'!$D$7/100)</f>
        <v>0</v>
      </c>
      <c r="H50" s="933">
        <f>ROUND(F50/12,2)</f>
        <v>466.63</v>
      </c>
    </row>
    <row r="51" spans="1:8" ht="15" customHeight="1" thickBot="1">
      <c r="A51" s="1770"/>
      <c r="B51" s="1771"/>
      <c r="C51" s="1771"/>
      <c r="D51" s="1771"/>
      <c r="E51" s="1771"/>
      <c r="F51" s="1771"/>
      <c r="G51" s="1771"/>
      <c r="H51" s="1772"/>
    </row>
    <row r="52" spans="1:8" ht="17.399999999999999">
      <c r="A52" s="1114" t="s">
        <v>504</v>
      </c>
      <c r="B52" s="1115"/>
      <c r="C52" s="1115"/>
      <c r="D52" s="1115"/>
      <c r="E52" s="1115"/>
      <c r="F52" s="1115"/>
      <c r="G52" s="1115"/>
      <c r="H52" s="1116"/>
    </row>
    <row r="53" spans="1:8" ht="25.95" customHeight="1" thickBot="1">
      <c r="A53" s="1677" t="s">
        <v>284</v>
      </c>
      <c r="B53" s="1678"/>
      <c r="C53" s="1678"/>
      <c r="D53" s="1678"/>
      <c r="E53" s="1678"/>
      <c r="F53" s="1678"/>
      <c r="G53" s="1678"/>
      <c r="H53" s="1679"/>
    </row>
    <row r="54" spans="1:8" ht="25.95" customHeight="1">
      <c r="A54" s="926"/>
      <c r="B54" s="927"/>
      <c r="C54" s="928"/>
      <c r="D54" s="1673" t="s">
        <v>128</v>
      </c>
      <c r="E54" s="1674"/>
      <c r="F54" s="1673" t="s">
        <v>306</v>
      </c>
      <c r="G54" s="1674"/>
      <c r="H54" s="626" t="s">
        <v>253</v>
      </c>
    </row>
    <row r="55" spans="1:8" ht="15.75" customHeight="1" thickBot="1">
      <c r="A55" s="929"/>
      <c r="B55" s="930"/>
      <c r="C55" s="931"/>
      <c r="D55" s="1689">
        <v>40999</v>
      </c>
      <c r="E55" s="1690"/>
      <c r="F55" s="1748" t="str">
        <f>'Løntabel gældende fra'!D1</f>
        <v>01-08-2026</v>
      </c>
      <c r="G55" s="1690"/>
      <c r="H55" s="527" t="str">
        <f>'Løntabel gældende fra'!$D$1</f>
        <v>01-08-2026</v>
      </c>
    </row>
    <row r="56" spans="1:8" ht="15" customHeight="1">
      <c r="A56" s="1659" t="s">
        <v>503</v>
      </c>
      <c r="B56" s="1660"/>
      <c r="C56" s="1661"/>
      <c r="D56" s="1746">
        <v>2000</v>
      </c>
      <c r="E56" s="1747"/>
      <c r="F56" s="1746">
        <f>ROUND(+D56*(1+'Løntabel gældende fra'!$D$7/100),2)</f>
        <v>2546.41</v>
      </c>
      <c r="G56" s="1747"/>
      <c r="H56" s="932">
        <f>ROUND(F56/12,2)</f>
        <v>212.2</v>
      </c>
    </row>
    <row r="57" spans="1:8" ht="15" customHeight="1" thickBot="1">
      <c r="A57" s="1662" t="s">
        <v>507</v>
      </c>
      <c r="B57" s="1663"/>
      <c r="C57" s="1664"/>
      <c r="D57" s="1665">
        <v>16036</v>
      </c>
      <c r="E57" s="1666"/>
      <c r="F57" s="1693">
        <f>ROUND(+D57*(1+'Løntabel gældende fra'!$D$7/100),2)</f>
        <v>20417.099999999999</v>
      </c>
      <c r="G57" s="1694">
        <f>+E57*(1+'Løntabel gældende fra'!$D$7/100)</f>
        <v>0</v>
      </c>
      <c r="H57" s="933">
        <f>ROUND(F57/12,2)</f>
        <v>1701.43</v>
      </c>
    </row>
    <row r="58" spans="1:8" ht="15" customHeight="1" thickBot="1">
      <c r="A58" s="1023"/>
      <c r="B58" s="1023"/>
      <c r="C58" s="1023"/>
      <c r="D58" s="1023"/>
      <c r="E58" s="1023"/>
      <c r="F58" s="1023"/>
      <c r="G58" s="1023"/>
      <c r="H58" s="1023"/>
    </row>
    <row r="59" spans="1:8" ht="17.399999999999999">
      <c r="A59" s="1114" t="s">
        <v>515</v>
      </c>
      <c r="B59" s="1115"/>
      <c r="C59" s="1115"/>
      <c r="D59" s="1115"/>
      <c r="E59" s="1115"/>
      <c r="F59" s="1115"/>
      <c r="G59" s="1115"/>
      <c r="H59" s="1116"/>
    </row>
    <row r="60" spans="1:8" ht="25.95" customHeight="1" thickBot="1">
      <c r="A60" s="1677" t="s">
        <v>284</v>
      </c>
      <c r="B60" s="1678"/>
      <c r="C60" s="1678"/>
      <c r="D60" s="1678"/>
      <c r="E60" s="1678"/>
      <c r="F60" s="1678"/>
      <c r="G60" s="1678"/>
      <c r="H60" s="1679"/>
    </row>
    <row r="61" spans="1:8" ht="25.95" customHeight="1">
      <c r="A61" s="1680" t="s">
        <v>505</v>
      </c>
      <c r="B61" s="1681"/>
      <c r="C61" s="1682"/>
      <c r="D61" s="1673" t="s">
        <v>128</v>
      </c>
      <c r="E61" s="1674"/>
      <c r="F61" s="1673" t="s">
        <v>306</v>
      </c>
      <c r="G61" s="1674"/>
      <c r="H61" s="626" t="s">
        <v>253</v>
      </c>
    </row>
    <row r="62" spans="1:8" ht="15.75" customHeight="1" thickBot="1">
      <c r="A62" s="1683"/>
      <c r="B62" s="1684"/>
      <c r="C62" s="1685"/>
      <c r="D62" s="1689">
        <v>40999</v>
      </c>
      <c r="E62" s="1690"/>
      <c r="F62" s="1689" t="str">
        <f>H62</f>
        <v>01-08-2026</v>
      </c>
      <c r="G62" s="1749"/>
      <c r="H62" s="527" t="str">
        <f>'Løntabel gældende fra'!$D$1</f>
        <v>01-08-2026</v>
      </c>
    </row>
    <row r="63" spans="1:8" ht="15" customHeight="1" thickBot="1">
      <c r="A63" s="1686"/>
      <c r="B63" s="1687"/>
      <c r="C63" s="1688"/>
      <c r="D63" s="1691">
        <v>5500</v>
      </c>
      <c r="E63" s="1692"/>
      <c r="F63" s="1691">
        <f>ROUND(+D63*(1+'Løntabel gældende fra'!$D$7/100),2)</f>
        <v>7002.62</v>
      </c>
      <c r="G63" s="1692"/>
      <c r="H63" s="627">
        <f>ROUND(F63/12,2)</f>
        <v>583.54999999999995</v>
      </c>
    </row>
    <row r="64" spans="1:8" ht="15" customHeight="1" thickBot="1">
      <c r="A64" s="1023"/>
      <c r="B64" s="1023"/>
      <c r="C64" s="1023"/>
      <c r="D64" s="1023"/>
      <c r="E64" s="1023"/>
      <c r="F64" s="1023"/>
      <c r="G64" s="1023"/>
      <c r="H64" s="1023"/>
    </row>
    <row r="65" spans="1:8" ht="17.399999999999999">
      <c r="A65" s="1114" t="s">
        <v>516</v>
      </c>
      <c r="B65" s="1115"/>
      <c r="C65" s="1115"/>
      <c r="D65" s="1115"/>
      <c r="E65" s="1115"/>
      <c r="F65" s="1115"/>
      <c r="G65" s="1115"/>
      <c r="H65" s="1116"/>
    </row>
    <row r="66" spans="1:8" ht="25.95" customHeight="1" thickBot="1">
      <c r="A66" s="1677" t="s">
        <v>284</v>
      </c>
      <c r="B66" s="1678"/>
      <c r="C66" s="1678"/>
      <c r="D66" s="1678"/>
      <c r="E66" s="1678"/>
      <c r="F66" s="1678"/>
      <c r="G66" s="1678"/>
      <c r="H66" s="1679"/>
    </row>
    <row r="67" spans="1:8" ht="25.95" customHeight="1">
      <c r="A67" s="1680" t="s">
        <v>505</v>
      </c>
      <c r="B67" s="1681"/>
      <c r="C67" s="1682"/>
      <c r="D67" s="1673" t="s">
        <v>128</v>
      </c>
      <c r="E67" s="1674"/>
      <c r="F67" s="1673" t="s">
        <v>306</v>
      </c>
      <c r="G67" s="1674"/>
      <c r="H67" s="626" t="s">
        <v>253</v>
      </c>
    </row>
    <row r="68" spans="1:8" ht="15.75" customHeight="1" thickBot="1">
      <c r="A68" s="1683"/>
      <c r="B68" s="1684"/>
      <c r="C68" s="1685"/>
      <c r="D68" s="1689">
        <v>40999</v>
      </c>
      <c r="E68" s="1690"/>
      <c r="F68" s="1689" t="str">
        <f>H68</f>
        <v>01-08-2026</v>
      </c>
      <c r="G68" s="1749"/>
      <c r="H68" s="527" t="str">
        <f>'Løntabel gældende fra'!$D$1</f>
        <v>01-08-2026</v>
      </c>
    </row>
    <row r="69" spans="1:8" ht="15" customHeight="1" thickBot="1">
      <c r="A69" s="1686"/>
      <c r="B69" s="1687"/>
      <c r="C69" s="1688"/>
      <c r="D69" s="1691">
        <v>4000</v>
      </c>
      <c r="E69" s="1692"/>
      <c r="F69" s="1691">
        <f>ROUND(+D69*(1+'Løntabel gældende fra'!$D$7/100),2)</f>
        <v>5092.82</v>
      </c>
      <c r="G69" s="1692"/>
      <c r="H69" s="627">
        <f>ROUND(F69/12,2)</f>
        <v>424.4</v>
      </c>
    </row>
    <row r="70" spans="1:8" ht="15" customHeight="1" thickBot="1">
      <c r="A70" s="1023"/>
      <c r="B70" s="1023"/>
      <c r="C70" s="1023"/>
      <c r="D70" s="1023"/>
      <c r="E70" s="1023"/>
      <c r="F70" s="1023"/>
      <c r="G70" s="1023"/>
      <c r="H70" s="1023"/>
    </row>
    <row r="71" spans="1:8" ht="17.399999999999999">
      <c r="A71" s="1114" t="s">
        <v>202</v>
      </c>
      <c r="B71" s="1115"/>
      <c r="C71" s="1115"/>
      <c r="D71" s="1115"/>
      <c r="E71" s="1115"/>
      <c r="F71" s="1115"/>
      <c r="G71" s="1115"/>
      <c r="H71" s="1116"/>
    </row>
    <row r="72" spans="1:8" ht="19.95" customHeight="1" thickBot="1">
      <c r="A72" s="1169" t="s">
        <v>314</v>
      </c>
      <c r="B72" s="1170"/>
      <c r="C72" s="1170"/>
      <c r="D72" s="1170"/>
      <c r="E72" s="1170"/>
      <c r="F72" s="1170"/>
      <c r="G72" s="1170"/>
      <c r="H72" s="1171"/>
    </row>
    <row r="73" spans="1:8" ht="25.95" customHeight="1">
      <c r="A73" s="926"/>
      <c r="B73" s="927"/>
      <c r="C73" s="927"/>
      <c r="D73" s="1673" t="s">
        <v>128</v>
      </c>
      <c r="E73" s="1674"/>
      <c r="F73" s="1673" t="s">
        <v>306</v>
      </c>
      <c r="G73" s="1674"/>
      <c r="H73" s="626" t="s">
        <v>253</v>
      </c>
    </row>
    <row r="74" spans="1:8" ht="15" customHeight="1" thickBot="1">
      <c r="A74" s="934"/>
      <c r="B74" s="935"/>
      <c r="C74" s="935"/>
      <c r="D74" s="1689">
        <v>40999</v>
      </c>
      <c r="E74" s="1690"/>
      <c r="F74" s="1748" t="str">
        <f>'Løntabel gældende fra'!D1</f>
        <v>01-08-2026</v>
      </c>
      <c r="G74" s="1690"/>
      <c r="H74" s="527" t="str">
        <f>'Løntabel gældende fra'!$D$1</f>
        <v>01-08-2026</v>
      </c>
    </row>
    <row r="75" spans="1:8" ht="15" customHeight="1">
      <c r="A75" s="1667" t="s">
        <v>289</v>
      </c>
      <c r="B75" s="1668"/>
      <c r="C75" s="1669"/>
      <c r="D75" s="1723">
        <v>6480</v>
      </c>
      <c r="E75" s="1724"/>
      <c r="F75" s="1723">
        <f>ROUND(+D75*(1+'Løntabel gældende fra'!$D$7/100),2)</f>
        <v>8250.36</v>
      </c>
      <c r="G75" s="1724"/>
      <c r="H75" s="936">
        <f>ROUND(F75/12,2)</f>
        <v>687.53</v>
      </c>
    </row>
    <row r="76" spans="1:8" ht="15" customHeight="1">
      <c r="A76" s="1670" t="s">
        <v>456</v>
      </c>
      <c r="B76" s="1671"/>
      <c r="C76" s="1672"/>
      <c r="D76" s="1675">
        <v>6480</v>
      </c>
      <c r="E76" s="1676"/>
      <c r="F76" s="1675">
        <f>ROUND(+D76*(1+'Løntabel gældende fra'!$D$7/100),2)</f>
        <v>8250.36</v>
      </c>
      <c r="G76" s="1676"/>
      <c r="H76" s="937">
        <f>ROUND(F76/12,2)</f>
        <v>687.53</v>
      </c>
    </row>
    <row r="77" spans="1:8" ht="33" customHeight="1">
      <c r="A77" s="1670" t="s">
        <v>506</v>
      </c>
      <c r="B77" s="1671"/>
      <c r="C77" s="1672"/>
      <c r="D77" s="1675">
        <v>3240</v>
      </c>
      <c r="E77" s="1676"/>
      <c r="F77" s="1675">
        <f>ROUND(+D77*(1+'Løntabel gældende fra'!$D$7/100),2)</f>
        <v>4125.18</v>
      </c>
      <c r="G77" s="1676"/>
      <c r="H77" s="937">
        <f>ROUND(F77/12,2)</f>
        <v>343.77</v>
      </c>
    </row>
    <row r="78" spans="1:8" ht="34.049999999999997" customHeight="1" thickBot="1">
      <c r="A78" s="1781" t="s">
        <v>502</v>
      </c>
      <c r="B78" s="1782"/>
      <c r="C78" s="1783"/>
      <c r="D78" s="1665">
        <v>8000</v>
      </c>
      <c r="E78" s="1666"/>
      <c r="F78" s="1665">
        <f>ROUND(+D78*(1+'Løntabel gældende fra'!$D$7/100),2)</f>
        <v>10185.629999999999</v>
      </c>
      <c r="G78" s="1666"/>
      <c r="H78" s="933">
        <f>ROUND(F78/12,2)</f>
        <v>848.8</v>
      </c>
    </row>
    <row r="79" spans="1:8" ht="19.95" customHeight="1" thickBot="1">
      <c r="A79" s="255"/>
      <c r="B79" s="255"/>
      <c r="C79" s="255"/>
      <c r="D79" s="255"/>
      <c r="E79" s="255"/>
      <c r="F79" s="243"/>
      <c r="G79" s="243"/>
      <c r="H79" s="618"/>
    </row>
    <row r="80" spans="1:8" ht="27" customHeight="1">
      <c r="A80" s="1114" t="s">
        <v>282</v>
      </c>
      <c r="B80" s="1115"/>
      <c r="C80" s="1115"/>
      <c r="D80" s="1115"/>
      <c r="E80" s="1115"/>
      <c r="F80" s="1115"/>
      <c r="G80" s="1115"/>
      <c r="H80" s="1116"/>
    </row>
    <row r="81" spans="1:8" ht="19.95" customHeight="1" thickBot="1">
      <c r="A81" s="1169" t="s">
        <v>280</v>
      </c>
      <c r="B81" s="1170"/>
      <c r="C81" s="1170"/>
      <c r="D81" s="1170"/>
      <c r="E81" s="1170"/>
      <c r="F81" s="1170"/>
      <c r="G81" s="1170"/>
      <c r="H81" s="1171"/>
    </row>
    <row r="82" spans="1:8" ht="19.95" customHeight="1">
      <c r="A82" s="623"/>
      <c r="B82" s="624"/>
      <c r="C82" s="624"/>
      <c r="D82" s="624"/>
      <c r="E82" s="624"/>
      <c r="F82" s="624"/>
      <c r="G82" s="626" t="s">
        <v>95</v>
      </c>
      <c r="H82" s="625" t="s">
        <v>100</v>
      </c>
    </row>
    <row r="83" spans="1:8" ht="15" customHeight="1" thickBot="1">
      <c r="A83" s="621"/>
      <c r="B83" s="622"/>
      <c r="C83" s="622"/>
      <c r="D83" s="622"/>
      <c r="E83" s="622"/>
      <c r="F83" s="622"/>
      <c r="G83" s="527">
        <v>40999</v>
      </c>
      <c r="H83" s="543" t="str">
        <f>'Løntabel gældende fra'!$D$1</f>
        <v>01-08-2026</v>
      </c>
    </row>
    <row r="84" spans="1:8" s="224" customFormat="1" ht="15.75" customHeight="1">
      <c r="A84" s="1777" t="s">
        <v>198</v>
      </c>
      <c r="B84" s="1778"/>
      <c r="C84" s="1778"/>
      <c r="D84" s="1778"/>
      <c r="E84" s="1778"/>
      <c r="F84" s="886" t="s">
        <v>162</v>
      </c>
      <c r="G84" s="887">
        <v>22.32</v>
      </c>
      <c r="H84" s="888">
        <f>ROUND(G84+G84*'Løntabel gældende fra'!$D$7%,2)</f>
        <v>28.42</v>
      </c>
    </row>
    <row r="85" spans="1:8" ht="16.5" customHeight="1">
      <c r="A85" s="1739" t="s">
        <v>444</v>
      </c>
      <c r="B85" s="1740"/>
      <c r="C85" s="1740"/>
      <c r="D85" s="1740"/>
      <c r="E85" s="1740"/>
      <c r="F85" s="1684" t="s">
        <v>162</v>
      </c>
      <c r="G85" s="1737">
        <v>39.92</v>
      </c>
      <c r="H85" s="1730">
        <f>ROUND(G85+G85*'Løntabel gældende fra'!$D$7%,2)</f>
        <v>50.83</v>
      </c>
    </row>
    <row r="86" spans="1:8" ht="31.2" customHeight="1">
      <c r="A86" s="1741"/>
      <c r="B86" s="1742"/>
      <c r="C86" s="1742"/>
      <c r="D86" s="1742"/>
      <c r="E86" s="1742"/>
      <c r="F86" s="1660"/>
      <c r="G86" s="1738"/>
      <c r="H86" s="1731"/>
    </row>
    <row r="87" spans="1:8" s="224" customFormat="1" ht="15">
      <c r="A87" s="1773" t="s">
        <v>161</v>
      </c>
      <c r="B87" s="1774"/>
      <c r="C87" s="1774"/>
      <c r="D87" s="1774"/>
      <c r="E87" s="1774"/>
      <c r="F87" s="619" t="s">
        <v>162</v>
      </c>
      <c r="G87" s="526">
        <v>39.92</v>
      </c>
      <c r="H87" s="545">
        <f>ROUND(G87+G87*'Løntabel gældende fra'!$D$7%,2)</f>
        <v>50.83</v>
      </c>
    </row>
    <row r="88" spans="1:8" ht="16.05" customHeight="1">
      <c r="A88" s="1779" t="s">
        <v>215</v>
      </c>
      <c r="B88" s="1780"/>
      <c r="C88" s="1780"/>
      <c r="D88" s="1780"/>
      <c r="E88" s="1780"/>
      <c r="F88" s="617" t="s">
        <v>162</v>
      </c>
      <c r="G88" s="526">
        <v>39.92</v>
      </c>
      <c r="H88" s="545">
        <f>ROUND(G88+G88*'Løntabel gældende fra'!$D$7%,2)</f>
        <v>50.83</v>
      </c>
    </row>
    <row r="89" spans="1:8" ht="15">
      <c r="A89" s="1773" t="s">
        <v>373</v>
      </c>
      <c r="B89" s="1774"/>
      <c r="C89" s="1774"/>
      <c r="D89" s="1774"/>
      <c r="E89" s="1774"/>
      <c r="F89" s="619" t="s">
        <v>163</v>
      </c>
      <c r="G89" s="526">
        <v>39.92</v>
      </c>
      <c r="H89" s="545">
        <f>ROUND(G89+G89*'Løntabel gældende fra'!$D$7%,2)</f>
        <v>50.83</v>
      </c>
    </row>
    <row r="90" spans="1:8" ht="15">
      <c r="A90" s="1773" t="s">
        <v>374</v>
      </c>
      <c r="B90" s="1774"/>
      <c r="C90" s="1774"/>
      <c r="D90" s="1774"/>
      <c r="E90" s="1774"/>
      <c r="F90" s="619" t="s">
        <v>163</v>
      </c>
      <c r="G90" s="526">
        <v>91.84</v>
      </c>
      <c r="H90" s="545">
        <f>ROUND(G90+G90*'Løntabel gældende fra'!$D$7%,2)</f>
        <v>116.93</v>
      </c>
    </row>
    <row r="91" spans="1:8" ht="15.6" thickBot="1">
      <c r="A91" s="1775" t="s">
        <v>375</v>
      </c>
      <c r="B91" s="1776"/>
      <c r="C91" s="1776"/>
      <c r="D91" s="1776"/>
      <c r="E91" s="1776"/>
      <c r="F91" s="620" t="s">
        <v>162</v>
      </c>
      <c r="G91" s="525">
        <v>39.92</v>
      </c>
      <c r="H91" s="544">
        <f>ROUND(G91+G91*'Løntabel gældende fra'!$D$7%,2)</f>
        <v>50.83</v>
      </c>
    </row>
    <row r="92" spans="1:8" ht="14.4" thickBot="1">
      <c r="A92" s="255"/>
      <c r="B92" s="255"/>
      <c r="C92" s="255"/>
      <c r="D92" s="255"/>
      <c r="E92" s="255"/>
      <c r="F92" s="243"/>
      <c r="G92" s="243"/>
    </row>
    <row r="93" spans="1:8" ht="27" customHeight="1" thickBot="1">
      <c r="A93" s="1766" t="s">
        <v>417</v>
      </c>
      <c r="B93" s="1767"/>
      <c r="C93" s="1767"/>
      <c r="D93" s="1767"/>
      <c r="E93" s="1767"/>
      <c r="F93" s="1767"/>
      <c r="G93" s="1767"/>
      <c r="H93" s="1768"/>
    </row>
    <row r="94" spans="1:8" ht="15.6">
      <c r="A94" s="1717" t="s">
        <v>159</v>
      </c>
      <c r="B94" s="1718"/>
      <c r="C94" s="1718"/>
      <c r="D94" s="1719"/>
      <c r="E94" s="1769" t="s">
        <v>307</v>
      </c>
      <c r="F94" s="1769"/>
      <c r="G94" s="1699" t="s">
        <v>308</v>
      </c>
      <c r="H94" s="1700"/>
    </row>
    <row r="95" spans="1:8" ht="13.05" customHeight="1" thickBot="1">
      <c r="A95" s="1720"/>
      <c r="B95" s="1721"/>
      <c r="C95" s="1721"/>
      <c r="D95" s="1722"/>
      <c r="E95" s="1706">
        <v>40999</v>
      </c>
      <c r="F95" s="1707"/>
      <c r="G95" s="1697" t="str">
        <f>'Løntabel gældende fra'!$D$1</f>
        <v>01-08-2026</v>
      </c>
      <c r="H95" s="1698"/>
    </row>
    <row r="96" spans="1:8" ht="15" customHeight="1">
      <c r="A96" s="1714" t="s">
        <v>436</v>
      </c>
      <c r="B96" s="1715"/>
      <c r="C96" s="1715"/>
      <c r="D96" s="1716"/>
      <c r="E96" s="1704">
        <v>138.5</v>
      </c>
      <c r="F96" s="1705"/>
      <c r="G96" s="1704">
        <f>ROUND(+E96*(1+'Løntabel gældende fra'!$D$7/100),2)</f>
        <v>176.34</v>
      </c>
      <c r="H96" s="1705"/>
    </row>
    <row r="97" spans="1:8" ht="15" customHeight="1">
      <c r="A97" s="945" t="s">
        <v>437</v>
      </c>
      <c r="B97" s="946"/>
      <c r="C97" s="946"/>
      <c r="D97" s="947"/>
      <c r="E97" s="1725">
        <v>164</v>
      </c>
      <c r="F97" s="1726"/>
      <c r="G97" s="1725">
        <f>ROUND(+E97*(1+'Løntabel gældende fra'!$D$7/100),2)</f>
        <v>208.81</v>
      </c>
      <c r="H97" s="1726"/>
    </row>
    <row r="98" spans="1:8" ht="15.6" thickBot="1">
      <c r="A98" s="1708" t="s">
        <v>226</v>
      </c>
      <c r="B98" s="1709"/>
      <c r="C98" s="1709"/>
      <c r="D98" s="1710"/>
      <c r="E98" s="1695">
        <v>185</v>
      </c>
      <c r="F98" s="1696"/>
      <c r="G98" s="1695">
        <f>ROUND(+E98*(1+'Løntabel gældende fra'!$D$7/100),2)</f>
        <v>235.54</v>
      </c>
      <c r="H98" s="1696"/>
    </row>
    <row r="99" spans="1:8" ht="14.4" thickBot="1">
      <c r="A99" s="40"/>
      <c r="B99" s="40"/>
      <c r="C99" s="40"/>
      <c r="D99" s="217"/>
      <c r="E99" s="217"/>
      <c r="F99" s="217"/>
      <c r="G99" s="217"/>
    </row>
    <row r="100" spans="1:8" ht="18" thickBot="1">
      <c r="A100" s="1701" t="str">
        <f>"Unge under 18 år, pr. arbejdstime (60 minutter) pr. "&amp;'Løntabel gældende fra'!D1&amp;""</f>
        <v>Unge under 18 år, pr. arbejdstime (60 minutter) pr. 01-08-2026</v>
      </c>
      <c r="B100" s="1702"/>
      <c r="C100" s="1702"/>
      <c r="D100" s="1702"/>
      <c r="E100" s="1702"/>
      <c r="F100" s="1703"/>
    </row>
    <row r="101" spans="1:8" ht="19.05" customHeight="1" thickBot="1">
      <c r="A101" s="546" t="s">
        <v>154</v>
      </c>
      <c r="B101" s="547" t="s">
        <v>72</v>
      </c>
      <c r="C101" s="547" t="s">
        <v>73</v>
      </c>
      <c r="D101" s="547" t="s">
        <v>74</v>
      </c>
      <c r="E101" s="547" t="s">
        <v>75</v>
      </c>
      <c r="F101" s="548" t="s">
        <v>76</v>
      </c>
    </row>
    <row r="102" spans="1:8" ht="15">
      <c r="A102" s="598" t="s">
        <v>155</v>
      </c>
      <c r="B102" s="549">
        <f>0.66*B10/160.33</f>
        <v>102.52714900517682</v>
      </c>
      <c r="C102" s="550">
        <f>0.66*C10/160.33</f>
        <v>104.70309486683715</v>
      </c>
      <c r="D102" s="550">
        <f>0.66*D10/160.33</f>
        <v>106.20973741657829</v>
      </c>
      <c r="E102" s="550">
        <f>0.66*E10/160.33</f>
        <v>108.38531279236574</v>
      </c>
      <c r="F102" s="551">
        <f>0.66*F10/160.33</f>
        <v>109.89228466288282</v>
      </c>
    </row>
    <row r="103" spans="1:8" ht="15.6" thickBot="1">
      <c r="A103" s="542" t="s">
        <v>156</v>
      </c>
      <c r="B103" s="552">
        <f>0.74*B10/160.33</f>
        <v>114.95468221792552</v>
      </c>
      <c r="C103" s="553">
        <f>0.74*C10/160.33</f>
        <v>117.39437909312042</v>
      </c>
      <c r="D103" s="553">
        <f>0.74*D10/160.33</f>
        <v>119.08364498222414</v>
      </c>
      <c r="E103" s="553">
        <f>0.74*E10/160.33</f>
        <v>121.52292646416764</v>
      </c>
      <c r="F103" s="554">
        <f>0.74*F10/160.33</f>
        <v>123.21256159171706</v>
      </c>
    </row>
    <row r="104" spans="1:8" ht="14.4" thickBot="1">
      <c r="A104" s="225"/>
      <c r="B104" s="226"/>
      <c r="C104" s="226"/>
      <c r="D104" s="226"/>
      <c r="E104" s="226"/>
      <c r="F104" s="226"/>
    </row>
    <row r="105" spans="1:8" ht="16.5" customHeight="1" thickBot="1">
      <c r="A105" s="1766" t="s">
        <v>157</v>
      </c>
      <c r="B105" s="1767"/>
      <c r="C105" s="1767"/>
      <c r="D105" s="1767"/>
      <c r="E105" s="1767"/>
      <c r="F105" s="1767"/>
      <c r="G105" s="1768"/>
    </row>
    <row r="106" spans="1:8" ht="18.75" customHeight="1">
      <c r="A106" s="1717" t="s">
        <v>158</v>
      </c>
      <c r="B106" s="1718"/>
      <c r="C106" s="1719"/>
      <c r="D106" s="1699" t="s">
        <v>98</v>
      </c>
      <c r="E106" s="1700"/>
      <c r="F106" s="1699" t="s">
        <v>253</v>
      </c>
      <c r="G106" s="1700"/>
    </row>
    <row r="107" spans="1:8" ht="16.2" thickBot="1">
      <c r="A107" s="1720"/>
      <c r="B107" s="1721"/>
      <c r="C107" s="1722"/>
      <c r="D107" s="1697">
        <v>40999</v>
      </c>
      <c r="E107" s="1713"/>
      <c r="F107" s="1697" t="str">
        <f>'Løntabel gældende fra'!$D$1</f>
        <v>01-08-2026</v>
      </c>
      <c r="G107" s="1698"/>
    </row>
    <row r="108" spans="1:8" ht="15">
      <c r="A108" s="1714" t="s">
        <v>533</v>
      </c>
      <c r="B108" s="1715"/>
      <c r="C108" s="1716"/>
      <c r="D108" s="1761">
        <v>11049</v>
      </c>
      <c r="E108" s="1705"/>
      <c r="F108" s="1704">
        <f>ROUND(+D108*(1+'Løntabel gældende fra'!$D$7/100),2)</f>
        <v>14067.63</v>
      </c>
      <c r="G108" s="1705">
        <f>+E108*(1+'Løntabel gældende fra'!$D$7/100)</f>
        <v>0</v>
      </c>
    </row>
    <row r="109" spans="1:8" ht="15.6" thickBot="1">
      <c r="A109" s="1708" t="s">
        <v>532</v>
      </c>
      <c r="B109" s="1709"/>
      <c r="C109" s="1710"/>
      <c r="D109" s="1711">
        <v>11384</v>
      </c>
      <c r="E109" s="1712"/>
      <c r="F109" s="1695">
        <f>ROUND(+D109*(1+'Løntabel gældende fra'!$D$7/100),2)</f>
        <v>14494.15</v>
      </c>
      <c r="G109" s="1696">
        <f>+E109*(1+'Løntabel gældende fra'!$D$7/100)</f>
        <v>0</v>
      </c>
    </row>
    <row r="110" spans="1:8" ht="15.6">
      <c r="A110" s="555"/>
      <c r="B110" s="556"/>
      <c r="C110" s="556"/>
      <c r="D110" s="556"/>
      <c r="E110" s="556"/>
      <c r="F110" s="556"/>
      <c r="G110" s="557"/>
      <c r="H110" s="223"/>
    </row>
    <row r="111" spans="1:8">
      <c r="F111" s="223"/>
    </row>
    <row r="112" spans="1:8">
      <c r="A112" s="232"/>
      <c r="B112" s="232"/>
      <c r="C112" s="232"/>
      <c r="H112" s="224"/>
    </row>
    <row r="113" spans="1:7">
      <c r="A113" s="224"/>
      <c r="B113" s="224"/>
      <c r="C113" s="224"/>
      <c r="D113" s="224"/>
      <c r="E113" s="224"/>
      <c r="F113" s="224"/>
      <c r="G113" s="224"/>
    </row>
  </sheetData>
  <mergeCells count="113">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58:H58"/>
    <mergeCell ref="G97:H97"/>
    <mergeCell ref="E97:F97"/>
    <mergeCell ref="A59:H59"/>
    <mergeCell ref="A60:H60"/>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s>
  <phoneticPr fontId="7" type="noConversion"/>
  <pageMargins left="0.7" right="0.7" top="0.75" bottom="0.75" header="0.3" footer="0.3"/>
  <pageSetup paperSize="9" scale="56" fitToHeight="2" orientation="portrait" r:id="rId1"/>
  <headerFooter alignWithMargins="0">
    <oddFooter>&amp;C&amp;"Times New Roman,Normal"&amp;8&amp;K000000Løntabel BUPL/Aftaleenheden.&amp;R&amp;"Times New Roman,Normal"&amp;8&amp;K000000&amp;Paf i alt &amp;N</oddFooter>
  </headerFooter>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defaultColWidth="8.77734375" defaultRowHeight="13.2"/>
  <cols>
    <col min="1" max="1" width="9" style="206" customWidth="1"/>
    <col min="2" max="3" width="11.109375" style="206" customWidth="1"/>
    <col min="4" max="4" width="11.33203125" style="206" customWidth="1"/>
    <col min="5" max="6" width="10.6640625" style="206" customWidth="1"/>
    <col min="7" max="7" width="10.109375" style="206" customWidth="1"/>
    <col min="8" max="8" width="10.77734375" style="206" customWidth="1"/>
    <col min="9" max="9" width="11.109375" style="206" customWidth="1"/>
    <col min="10" max="10" width="9.109375" style="206" customWidth="1"/>
    <col min="11" max="16384" width="8.77734375" style="206"/>
  </cols>
  <sheetData>
    <row r="1" spans="1:16" ht="21">
      <c r="A1" s="1223" t="s">
        <v>19</v>
      </c>
      <c r="B1" s="1224"/>
      <c r="C1" s="1224"/>
      <c r="D1" s="1224"/>
      <c r="E1" s="1224"/>
      <c r="F1" s="1224"/>
      <c r="G1" s="1224"/>
      <c r="H1" s="1224"/>
      <c r="I1" s="1224"/>
      <c r="J1" s="1225"/>
    </row>
    <row r="2" spans="1:16" ht="21">
      <c r="A2" s="1807" t="s">
        <v>186</v>
      </c>
      <c r="B2" s="1808"/>
      <c r="C2" s="1808"/>
      <c r="D2" s="1808"/>
      <c r="E2" s="1808"/>
      <c r="F2" s="1808"/>
      <c r="G2" s="1808"/>
      <c r="H2" s="1808"/>
      <c r="I2" s="1808"/>
      <c r="J2" s="1809"/>
    </row>
    <row r="3" spans="1:16" ht="21.6" thickBot="1">
      <c r="A3" s="1750" t="s">
        <v>200</v>
      </c>
      <c r="B3" s="1751"/>
      <c r="C3" s="1751"/>
      <c r="D3" s="1751"/>
      <c r="E3" s="1751"/>
      <c r="F3" s="1751"/>
      <c r="G3" s="1751"/>
      <c r="H3" s="1751"/>
      <c r="I3" s="1751"/>
      <c r="J3" s="1752"/>
    </row>
    <row r="4" spans="1:16" ht="22.8">
      <c r="A4" s="1813"/>
      <c r="B4" s="1814"/>
      <c r="C4" s="1814"/>
      <c r="D4" s="1814"/>
      <c r="E4" s="1814"/>
      <c r="F4" s="1814"/>
      <c r="G4" s="1814"/>
      <c r="H4" s="1814"/>
      <c r="I4" s="1814"/>
      <c r="J4" s="222"/>
    </row>
    <row r="5" spans="1:16" ht="47.25" customHeight="1">
      <c r="A5" s="1001" t="s">
        <v>217</v>
      </c>
      <c r="B5" s="1002"/>
      <c r="C5" s="1002"/>
      <c r="D5" s="1002"/>
      <c r="E5" s="1002"/>
      <c r="F5" s="1002"/>
      <c r="G5" s="1002"/>
      <c r="H5" s="1002"/>
      <c r="I5" s="1002"/>
      <c r="J5" s="222"/>
    </row>
    <row r="6" spans="1:16" ht="7.95" customHeight="1">
      <c r="A6" s="246"/>
      <c r="B6" s="246"/>
      <c r="C6" s="246"/>
      <c r="D6" s="246"/>
      <c r="E6" s="246"/>
      <c r="F6" s="246"/>
      <c r="G6" s="246"/>
      <c r="H6" s="246"/>
      <c r="I6" s="246"/>
      <c r="J6" s="222"/>
      <c r="L6" s="233"/>
      <c r="M6" s="232"/>
      <c r="N6" s="232"/>
      <c r="O6" s="232"/>
      <c r="P6" s="232"/>
    </row>
    <row r="7" spans="1:16" ht="18" customHeight="1" thickBot="1">
      <c r="A7" s="246"/>
      <c r="B7" s="246"/>
      <c r="C7" s="246"/>
      <c r="D7" s="246"/>
      <c r="E7" s="246"/>
      <c r="F7" s="246"/>
      <c r="G7" s="246"/>
      <c r="H7" s="246"/>
      <c r="I7" s="246"/>
      <c r="J7" s="222"/>
      <c r="L7" s="233"/>
      <c r="M7" s="232"/>
      <c r="N7" s="232"/>
      <c r="O7" s="232"/>
      <c r="P7" s="232"/>
    </row>
    <row r="8" spans="1:16" ht="18" thickBot="1">
      <c r="A8" s="1810" t="s">
        <v>15</v>
      </c>
      <c r="B8" s="1811"/>
      <c r="C8" s="1811"/>
      <c r="D8" s="1811"/>
      <c r="E8" s="1811"/>
      <c r="F8" s="1812"/>
      <c r="G8" s="1701" t="s">
        <v>165</v>
      </c>
      <c r="H8" s="1702"/>
      <c r="I8" s="1702"/>
      <c r="J8" s="1703"/>
      <c r="L8" s="233"/>
      <c r="M8" s="232"/>
      <c r="N8" s="232"/>
      <c r="O8" s="232"/>
      <c r="P8" s="232"/>
    </row>
    <row r="9" spans="1:16" ht="39.6">
      <c r="A9" s="430" t="s">
        <v>57</v>
      </c>
      <c r="B9" s="430" t="s">
        <v>72</v>
      </c>
      <c r="C9" s="433" t="s">
        <v>73</v>
      </c>
      <c r="D9" s="430" t="s">
        <v>74</v>
      </c>
      <c r="E9" s="430" t="s">
        <v>75</v>
      </c>
      <c r="F9" s="430" t="s">
        <v>76</v>
      </c>
      <c r="G9" s="434" t="s">
        <v>182</v>
      </c>
      <c r="H9" s="435" t="s">
        <v>183</v>
      </c>
      <c r="I9" s="435" t="s">
        <v>184</v>
      </c>
      <c r="J9" s="436">
        <v>0.14000000000000001</v>
      </c>
    </row>
    <row r="10" spans="1:16" ht="15" customHeight="1">
      <c r="A10" s="347" t="s">
        <v>205</v>
      </c>
      <c r="B10" s="272">
        <f>+'Statens skalatrin'!D46+F24/12</f>
        <v>24357.218352333333</v>
      </c>
      <c r="C10" s="273">
        <f>+'Statens skalatrin'!F46+F24/12</f>
        <v>24860.138352333332</v>
      </c>
      <c r="D10" s="274">
        <f>+'Statens skalatrin'!H46+F24/12</f>
        <v>25208.30835233333</v>
      </c>
      <c r="E10" s="272">
        <f>+'Statens skalatrin'!J46+F24/12</f>
        <v>25711.05835233333</v>
      </c>
      <c r="F10" s="272">
        <f>+'Statens skalatrin'!L46+F24/12</f>
        <v>26059.218352333333</v>
      </c>
      <c r="G10" s="275">
        <f>+'Statens skalatrin'!O46+F24/12</f>
        <v>22786.768352333333</v>
      </c>
      <c r="H10" s="276">
        <f>J10*1/3</f>
        <v>1063.382523108889</v>
      </c>
      <c r="I10" s="277">
        <f>J10*2/3</f>
        <v>2126.765046217778</v>
      </c>
      <c r="J10" s="277">
        <f>G10*$J$9</f>
        <v>3190.1475693266671</v>
      </c>
    </row>
    <row r="11" spans="1:16" ht="15" customHeight="1">
      <c r="A11" s="284">
        <v>17</v>
      </c>
      <c r="B11" s="272">
        <f>+'Statens skalatrin'!D55</f>
        <v>25358.5</v>
      </c>
      <c r="C11" s="273">
        <f>+'Statens skalatrin'!F55</f>
        <v>25900.58</v>
      </c>
      <c r="D11" s="274">
        <f>+'Statens skalatrin'!H55</f>
        <v>26275.83</v>
      </c>
      <c r="E11" s="272">
        <f>'Statens skalatrin'!J55</f>
        <v>26817.83</v>
      </c>
      <c r="F11" s="272">
        <f>+'Statens skalatrin'!L55</f>
        <v>27192.92</v>
      </c>
      <c r="G11" s="275">
        <f>+'Statens skalatrin'!O55</f>
        <v>23816.77</v>
      </c>
      <c r="H11" s="276">
        <f>J11*1/3</f>
        <v>1111.4492666666667</v>
      </c>
      <c r="I11" s="277">
        <f>J11*2/3</f>
        <v>2222.8985333333335</v>
      </c>
      <c r="J11" s="277">
        <f>G11*$J$9</f>
        <v>3334.3478000000005</v>
      </c>
    </row>
    <row r="12" spans="1:16" ht="16.95" customHeight="1" thickBot="1">
      <c r="A12" s="285" t="s">
        <v>166</v>
      </c>
      <c r="B12" s="278">
        <f>+'Statens skalatrin'!D64+F25/12</f>
        <v>26589.449584666665</v>
      </c>
      <c r="C12" s="279">
        <f>+'Statens skalatrin'!F64+F25/12</f>
        <v>27173.779584666667</v>
      </c>
      <c r="D12" s="280">
        <f>+'Statens skalatrin'!H64+F25/12</f>
        <v>27578.449584666665</v>
      </c>
      <c r="E12" s="278">
        <f>+'Statens skalatrin'!J64+F25/12</f>
        <v>28162.859584666669</v>
      </c>
      <c r="F12" s="278">
        <f>+'Statens skalatrin'!L64+F25/12</f>
        <v>28567.279584666667</v>
      </c>
      <c r="G12" s="281">
        <f>+'Statens skalatrin'!O64+F25/12</f>
        <v>25218.309584666666</v>
      </c>
      <c r="H12" s="282">
        <f>J12*1/3</f>
        <v>1176.8544472844444</v>
      </c>
      <c r="I12" s="283">
        <f>J12*2/3</f>
        <v>2353.7088945688888</v>
      </c>
      <c r="J12" s="283">
        <f>G12*$J$9</f>
        <v>3530.5633418533334</v>
      </c>
    </row>
    <row r="13" spans="1:16" ht="16.95" customHeight="1">
      <c r="A13" s="232" t="s">
        <v>218</v>
      </c>
      <c r="B13" s="226"/>
      <c r="C13" s="226"/>
      <c r="D13" s="226"/>
      <c r="E13" s="226"/>
      <c r="F13" s="226"/>
      <c r="G13" s="249"/>
      <c r="H13" s="250"/>
      <c r="I13" s="251"/>
      <c r="J13" s="251"/>
    </row>
    <row r="14" spans="1:16" ht="16.05" customHeight="1" thickBot="1">
      <c r="A14" s="246"/>
      <c r="B14" s="246"/>
      <c r="C14" s="246"/>
      <c r="D14" s="246"/>
      <c r="E14" s="246"/>
      <c r="F14" s="246"/>
      <c r="G14" s="246"/>
      <c r="H14" s="246"/>
      <c r="I14" s="246"/>
      <c r="J14" s="222"/>
      <c r="L14" s="248"/>
    </row>
    <row r="15" spans="1:16" ht="16.05" customHeight="1" thickBot="1">
      <c r="A15" s="1701" t="s">
        <v>167</v>
      </c>
      <c r="B15" s="1702"/>
      <c r="C15" s="1702"/>
      <c r="D15" s="1702"/>
      <c r="E15" s="1702"/>
      <c r="F15" s="1703"/>
      <c r="G15" s="232"/>
      <c r="H15" s="232"/>
      <c r="I15" s="232"/>
      <c r="J15" s="222"/>
      <c r="L15" s="248"/>
    </row>
    <row r="16" spans="1:16" ht="16.05" customHeight="1" thickBot="1">
      <c r="A16" s="236" t="s">
        <v>168</v>
      </c>
      <c r="B16" s="237"/>
      <c r="C16" s="237"/>
      <c r="D16" s="237"/>
      <c r="E16" s="237"/>
      <c r="F16" s="238"/>
      <c r="G16" s="232"/>
      <c r="H16" s="232"/>
      <c r="I16" s="232"/>
      <c r="J16" s="222"/>
      <c r="L16" s="248"/>
    </row>
    <row r="17" spans="1:10" ht="16.05" customHeight="1">
      <c r="A17" s="430" t="s">
        <v>57</v>
      </c>
      <c r="B17" s="431" t="s">
        <v>72</v>
      </c>
      <c r="C17" s="430" t="s">
        <v>73</v>
      </c>
      <c r="D17" s="431" t="s">
        <v>74</v>
      </c>
      <c r="E17" s="430" t="s">
        <v>75</v>
      </c>
      <c r="F17" s="432" t="s">
        <v>76</v>
      </c>
      <c r="G17" s="232"/>
      <c r="H17" s="232"/>
      <c r="I17" s="232"/>
      <c r="J17" s="222"/>
    </row>
    <row r="18" spans="1:10" ht="16.05" customHeight="1" thickBot="1">
      <c r="A18" s="289">
        <v>14</v>
      </c>
      <c r="B18" s="286">
        <f>B10*12/1924</f>
        <v>151.91612277962577</v>
      </c>
      <c r="C18" s="287">
        <f>C10*12/1924</f>
        <v>155.05283795634094</v>
      </c>
      <c r="D18" s="286">
        <f>D10*12/1924</f>
        <v>157.2243764178794</v>
      </c>
      <c r="E18" s="287">
        <f>E10*12/1924</f>
        <v>160.36003130353427</v>
      </c>
      <c r="F18" s="288">
        <f>F10*12/1924</f>
        <v>162.53150739501038</v>
      </c>
      <c r="G18" s="232"/>
      <c r="H18" s="231"/>
      <c r="I18" s="231"/>
      <c r="J18" s="222"/>
    </row>
    <row r="19" spans="1:10" ht="15" customHeight="1">
      <c r="A19" s="241"/>
      <c r="B19" s="240"/>
      <c r="C19" s="240"/>
      <c r="D19" s="240"/>
      <c r="E19" s="240"/>
      <c r="F19" s="240"/>
      <c r="G19" s="232"/>
      <c r="H19" s="231"/>
      <c r="I19" s="231"/>
      <c r="J19" s="222"/>
    </row>
    <row r="20" spans="1:10" ht="13.05" customHeight="1" thickBot="1">
      <c r="A20" s="241"/>
      <c r="B20" s="240"/>
      <c r="C20" s="240"/>
      <c r="D20" s="240"/>
      <c r="E20" s="240"/>
      <c r="F20" s="240"/>
      <c r="G20" s="232"/>
      <c r="H20" s="231"/>
      <c r="I20" s="231"/>
      <c r="J20" s="222"/>
    </row>
    <row r="21" spans="1:10" ht="15" customHeight="1" thickBot="1">
      <c r="A21" s="1114" t="s">
        <v>160</v>
      </c>
      <c r="B21" s="1115"/>
      <c r="C21" s="1115"/>
      <c r="D21" s="1115"/>
      <c r="E21" s="1115"/>
      <c r="F21" s="1116"/>
      <c r="G21" s="200"/>
      <c r="H21" s="200"/>
      <c r="I21" s="200"/>
      <c r="J21" s="222"/>
    </row>
    <row r="22" spans="1:10" ht="15" customHeight="1">
      <c r="A22" s="1784" t="s">
        <v>179</v>
      </c>
      <c r="B22" s="1785"/>
      <c r="C22" s="1785"/>
      <c r="D22" s="1785"/>
      <c r="E22" s="424" t="s">
        <v>95</v>
      </c>
      <c r="F22" s="428" t="s">
        <v>100</v>
      </c>
      <c r="G22" s="243"/>
      <c r="H22" s="232"/>
      <c r="I22" s="232"/>
      <c r="J22" s="222"/>
    </row>
    <row r="23" spans="1:10" ht="15" customHeight="1" thickBot="1">
      <c r="A23" s="1787"/>
      <c r="B23" s="1788"/>
      <c r="C23" s="1788"/>
      <c r="D23" s="1788"/>
      <c r="E23" s="426">
        <v>40999</v>
      </c>
      <c r="F23" s="429" t="str">
        <f>'Løntabel gældende fra'!$D$1</f>
        <v>01-08-2026</v>
      </c>
      <c r="G23" s="243"/>
      <c r="H23" s="232"/>
      <c r="I23" s="232"/>
      <c r="J23" s="222"/>
    </row>
    <row r="24" spans="1:10" ht="15" customHeight="1" thickBot="1">
      <c r="A24" s="1817" t="s">
        <v>204</v>
      </c>
      <c r="B24" s="1818"/>
      <c r="C24" s="1818"/>
      <c r="D24" s="404"/>
      <c r="E24" s="298">
        <v>1957</v>
      </c>
      <c r="F24" s="290">
        <f>E24+E24*'Løntabel gældende fra'!$D$7%</f>
        <v>2491.6602279999997</v>
      </c>
      <c r="G24" s="243"/>
      <c r="H24" s="232"/>
      <c r="I24" s="232"/>
      <c r="J24" s="222"/>
    </row>
    <row r="25" spans="1:10" ht="15" customHeight="1" thickBot="1">
      <c r="A25" s="1815" t="s">
        <v>180</v>
      </c>
      <c r="B25" s="1816"/>
      <c r="C25" s="1816"/>
      <c r="D25" s="405"/>
      <c r="E25" s="298">
        <v>554</v>
      </c>
      <c r="F25" s="290">
        <f>E25+E25*'Løntabel gældende fra'!$D$7%</f>
        <v>705.35501599999998</v>
      </c>
      <c r="G25" s="243"/>
      <c r="H25" s="232"/>
      <c r="I25" s="232"/>
      <c r="J25" s="222"/>
    </row>
    <row r="26" spans="1:10" ht="15" customHeight="1">
      <c r="A26" s="242"/>
      <c r="B26" s="240"/>
      <c r="C26" s="240"/>
      <c r="D26" s="240"/>
      <c r="E26" s="240"/>
      <c r="F26" s="240"/>
      <c r="G26" s="232"/>
      <c r="H26" s="232"/>
      <c r="I26" s="232"/>
      <c r="J26" s="222"/>
    </row>
    <row r="27" spans="1:10" ht="15" customHeight="1" thickBot="1">
      <c r="A27" s="242"/>
      <c r="B27" s="240"/>
      <c r="C27" s="240"/>
      <c r="D27" s="240"/>
      <c r="E27" s="240"/>
      <c r="F27" s="240"/>
      <c r="G27" s="232"/>
      <c r="H27" s="232"/>
      <c r="I27" s="232"/>
      <c r="J27" s="222"/>
    </row>
    <row r="28" spans="1:10" ht="15" customHeight="1" thickBot="1">
      <c r="A28" s="1114" t="s">
        <v>169</v>
      </c>
      <c r="B28" s="1115"/>
      <c r="C28" s="1115"/>
      <c r="D28" s="1115"/>
      <c r="E28" s="1115"/>
      <c r="F28" s="1115"/>
      <c r="G28" s="1115"/>
      <c r="H28" s="1115"/>
      <c r="I28" s="1116"/>
      <c r="J28" s="222"/>
    </row>
    <row r="29" spans="1:10" ht="15" customHeight="1" thickBot="1">
      <c r="A29" s="1792"/>
      <c r="B29" s="1793"/>
      <c r="C29" s="1793"/>
      <c r="D29" s="1793"/>
      <c r="E29" s="1793"/>
      <c r="F29" s="1793"/>
      <c r="G29" s="1793"/>
      <c r="H29" s="424" t="s">
        <v>95</v>
      </c>
      <c r="I29" s="425" t="s">
        <v>100</v>
      </c>
      <c r="J29" s="222"/>
    </row>
    <row r="30" spans="1:10" ht="15" customHeight="1" thickBot="1">
      <c r="A30" s="1794"/>
      <c r="B30" s="1795"/>
      <c r="C30" s="1795"/>
      <c r="D30" s="1795"/>
      <c r="E30" s="1795"/>
      <c r="F30" s="1795"/>
      <c r="G30" s="1796"/>
      <c r="H30" s="426">
        <v>40999</v>
      </c>
      <c r="I30" s="427" t="str">
        <f>'Løntabel gældende fra'!$D$1</f>
        <v>01-08-2026</v>
      </c>
      <c r="J30" s="222"/>
    </row>
    <row r="31" spans="1:10" ht="15" customHeight="1">
      <c r="A31" s="1797" t="s">
        <v>170</v>
      </c>
      <c r="B31" s="1798"/>
      <c r="C31" s="1798"/>
      <c r="D31" s="1798"/>
      <c r="E31" s="1798"/>
      <c r="F31" s="227"/>
      <c r="G31" s="229" t="s">
        <v>162</v>
      </c>
      <c r="H31" s="291">
        <v>22.32</v>
      </c>
      <c r="I31" s="292">
        <f>H31+H31*'Løntabel gældende fra'!$D$7%</f>
        <v>28.41791328</v>
      </c>
      <c r="J31" s="222"/>
    </row>
    <row r="32" spans="1:10" ht="15" customHeight="1">
      <c r="A32" s="1805" t="s">
        <v>171</v>
      </c>
      <c r="B32" s="1806"/>
      <c r="C32" s="1806"/>
      <c r="D32" s="1806"/>
      <c r="E32" s="1806"/>
      <c r="F32" s="247"/>
      <c r="G32" s="230" t="s">
        <v>162</v>
      </c>
      <c r="H32" s="293">
        <v>39.921999999999997</v>
      </c>
      <c r="I32" s="294">
        <f>H32+H32*'Løntabel gældende fra'!$D$7%</f>
        <v>50.828850087999996</v>
      </c>
      <c r="J32" s="222"/>
    </row>
    <row r="33" spans="1:10" ht="25.95" customHeight="1">
      <c r="A33" s="1797" t="s">
        <v>172</v>
      </c>
      <c r="B33" s="1798"/>
      <c r="C33" s="1798"/>
      <c r="D33" s="1798"/>
      <c r="E33" s="1798"/>
      <c r="F33" s="1798"/>
      <c r="G33" s="230" t="s">
        <v>162</v>
      </c>
      <c r="H33" s="293">
        <v>39.92</v>
      </c>
      <c r="I33" s="294">
        <f>H33+H33*'Løntabel gældende fra'!$D$7%</f>
        <v>50.826303680000002</v>
      </c>
      <c r="J33" s="222"/>
    </row>
    <row r="34" spans="1:10" ht="15" customHeight="1" thickBot="1">
      <c r="A34" s="260" t="s">
        <v>161</v>
      </c>
      <c r="B34" s="259"/>
      <c r="C34" s="259"/>
      <c r="D34" s="259"/>
      <c r="E34" s="244"/>
      <c r="F34" s="244"/>
      <c r="G34" s="254" t="s">
        <v>162</v>
      </c>
      <c r="H34" s="295">
        <v>39.921999999999997</v>
      </c>
      <c r="I34" s="296">
        <f>H34+H34*'Løntabel gældende fra'!$D$7%</f>
        <v>50.828850087999996</v>
      </c>
      <c r="J34" s="222"/>
    </row>
    <row r="35" spans="1:10" ht="15" customHeight="1">
      <c r="A35" s="253"/>
      <c r="B35" s="253"/>
      <c r="C35" s="253"/>
      <c r="D35" s="253"/>
      <c r="E35" s="253"/>
      <c r="F35" s="253"/>
      <c r="G35" s="253"/>
      <c r="H35" s="217"/>
      <c r="I35" s="252"/>
      <c r="J35" s="222"/>
    </row>
    <row r="36" spans="1:10" ht="15" customHeight="1" thickBot="1">
      <c r="A36" s="253"/>
      <c r="B36" s="253"/>
      <c r="C36" s="253"/>
      <c r="D36" s="253"/>
      <c r="E36" s="253"/>
      <c r="F36" s="253"/>
      <c r="G36" s="253"/>
      <c r="H36" s="217"/>
      <c r="I36" s="252"/>
      <c r="J36" s="222"/>
    </row>
    <row r="37" spans="1:10" ht="15" customHeight="1" thickBot="1">
      <c r="A37" s="1114" t="s">
        <v>173</v>
      </c>
      <c r="B37" s="1115"/>
      <c r="C37" s="1115"/>
      <c r="D37" s="1115"/>
      <c r="E37" s="1115"/>
      <c r="F37" s="1115"/>
      <c r="G37" s="1115"/>
      <c r="H37" s="1115"/>
      <c r="I37" s="1116"/>
      <c r="J37" s="232"/>
    </row>
    <row r="38" spans="1:10" ht="15" customHeight="1" thickBot="1">
      <c r="A38" s="1792"/>
      <c r="B38" s="1793"/>
      <c r="C38" s="1793"/>
      <c r="D38" s="1793"/>
      <c r="E38" s="1793"/>
      <c r="F38" s="1793"/>
      <c r="G38" s="1793"/>
      <c r="H38" s="424" t="s">
        <v>95</v>
      </c>
      <c r="I38" s="425" t="s">
        <v>100</v>
      </c>
      <c r="J38" s="232"/>
    </row>
    <row r="39" spans="1:10" ht="15" customHeight="1" thickBot="1">
      <c r="A39" s="1794"/>
      <c r="B39" s="1795"/>
      <c r="C39" s="1795"/>
      <c r="D39" s="1795"/>
      <c r="E39" s="1795"/>
      <c r="F39" s="1795"/>
      <c r="G39" s="1796"/>
      <c r="H39" s="426">
        <v>40999</v>
      </c>
      <c r="I39" s="427" t="str">
        <f>'Løntabel gældende fra'!$D$1</f>
        <v>01-08-2026</v>
      </c>
      <c r="J39" s="232"/>
    </row>
    <row r="40" spans="1:10" ht="15" customHeight="1" thickBot="1">
      <c r="A40" s="1790" t="s">
        <v>174</v>
      </c>
      <c r="B40" s="1791"/>
      <c r="C40" s="1791"/>
      <c r="D40" s="1791"/>
      <c r="E40" s="1791"/>
      <c r="F40" s="228"/>
      <c r="G40" s="239" t="s">
        <v>162</v>
      </c>
      <c r="H40" s="297">
        <v>6.88</v>
      </c>
      <c r="I40" s="290">
        <f>H40+H40*'Løntabel gældende fra'!$D$7%</f>
        <v>8.7596435199999991</v>
      </c>
      <c r="J40" s="232"/>
    </row>
    <row r="41" spans="1:10" ht="15" customHeight="1">
      <c r="A41" s="222"/>
      <c r="B41" s="222"/>
      <c r="C41" s="222"/>
      <c r="D41" s="222"/>
      <c r="E41" s="222"/>
      <c r="F41" s="223"/>
      <c r="G41" s="222"/>
      <c r="H41" s="223"/>
      <c r="I41" s="222"/>
      <c r="J41" s="232"/>
    </row>
    <row r="42" spans="1:10" ht="15" customHeight="1" thickBot="1">
      <c r="A42" s="222"/>
      <c r="B42" s="222"/>
      <c r="C42" s="222"/>
      <c r="D42" s="222"/>
      <c r="E42" s="222"/>
      <c r="F42" s="223"/>
      <c r="G42" s="222"/>
      <c r="H42" s="223"/>
      <c r="I42" s="222"/>
      <c r="J42" s="232"/>
    </row>
    <row r="43" spans="1:10" ht="15" customHeight="1" thickBot="1">
      <c r="A43" s="1114" t="s">
        <v>175</v>
      </c>
      <c r="B43" s="1115"/>
      <c r="C43" s="1115"/>
      <c r="D43" s="1115"/>
      <c r="E43" s="1115"/>
      <c r="F43" s="1115"/>
      <c r="G43" s="1115"/>
      <c r="H43" s="1115"/>
      <c r="I43" s="1116"/>
      <c r="J43" s="232"/>
    </row>
    <row r="44" spans="1:10" ht="15" customHeight="1">
      <c r="A44" s="1799"/>
      <c r="B44" s="1800"/>
      <c r="C44" s="1800"/>
      <c r="D44" s="1800"/>
      <c r="E44" s="1800"/>
      <c r="F44" s="1800"/>
      <c r="G44" s="1801"/>
      <c r="H44" s="424" t="s">
        <v>95</v>
      </c>
      <c r="I44" s="425" t="s">
        <v>100</v>
      </c>
      <c r="J44" s="232"/>
    </row>
    <row r="45" spans="1:10" ht="15" customHeight="1" thickBot="1">
      <c r="A45" s="1802"/>
      <c r="B45" s="1803"/>
      <c r="C45" s="1803"/>
      <c r="D45" s="1803"/>
      <c r="E45" s="1803"/>
      <c r="F45" s="1803"/>
      <c r="G45" s="1804"/>
      <c r="H45" s="426">
        <v>40999</v>
      </c>
      <c r="I45" s="427" t="str">
        <f>'Løntabel gældende fra'!$D$1</f>
        <v>01-08-2026</v>
      </c>
      <c r="J45" s="232"/>
    </row>
    <row r="46" spans="1:10" ht="15" customHeight="1" thickBot="1">
      <c r="A46" s="1790" t="s">
        <v>187</v>
      </c>
      <c r="B46" s="1791"/>
      <c r="C46" s="1791"/>
      <c r="D46" s="1791"/>
      <c r="E46" s="1791"/>
      <c r="F46" s="228"/>
      <c r="G46" s="239"/>
      <c r="H46" s="297">
        <v>655</v>
      </c>
      <c r="I46" s="290">
        <f>H46+H46*'Løntabel gældende fra'!$D$7%</f>
        <v>833.94862000000001</v>
      </c>
      <c r="J46" s="232"/>
    </row>
    <row r="47" spans="1:10" ht="15" customHeight="1">
      <c r="A47" s="222"/>
      <c r="B47" s="222"/>
      <c r="C47" s="222"/>
      <c r="D47" s="222"/>
      <c r="E47" s="222"/>
      <c r="F47" s="223"/>
      <c r="G47" s="222"/>
      <c r="H47" s="223"/>
      <c r="I47" s="222"/>
      <c r="J47" s="232"/>
    </row>
    <row r="48" spans="1:10" ht="15" customHeight="1" thickBot="1">
      <c r="A48" s="222"/>
      <c r="B48" s="222"/>
      <c r="C48" s="222"/>
      <c r="D48" s="222"/>
      <c r="E48" s="222"/>
      <c r="F48" s="223"/>
      <c r="G48" s="222"/>
      <c r="H48" s="223"/>
      <c r="I48" s="222"/>
      <c r="J48" s="232"/>
    </row>
    <row r="49" spans="1:10" ht="15" customHeight="1" thickBot="1">
      <c r="A49" s="1114" t="s">
        <v>176</v>
      </c>
      <c r="B49" s="1115"/>
      <c r="C49" s="1115"/>
      <c r="D49" s="1115"/>
      <c r="E49" s="1115"/>
      <c r="F49" s="1115"/>
      <c r="G49" s="1115"/>
      <c r="H49" s="1115"/>
      <c r="I49" s="1116"/>
      <c r="J49" s="232"/>
    </row>
    <row r="50" spans="1:10" ht="15" customHeight="1">
      <c r="A50" s="1784" t="s">
        <v>178</v>
      </c>
      <c r="B50" s="1785"/>
      <c r="C50" s="1785"/>
      <c r="D50" s="1785"/>
      <c r="E50" s="1785"/>
      <c r="F50" s="1785"/>
      <c r="G50" s="1786"/>
      <c r="H50" s="424" t="s">
        <v>95</v>
      </c>
      <c r="I50" s="425" t="s">
        <v>100</v>
      </c>
      <c r="J50" s="232"/>
    </row>
    <row r="51" spans="1:10" ht="15" customHeight="1" thickBot="1">
      <c r="A51" s="1787"/>
      <c r="B51" s="1788"/>
      <c r="C51" s="1788"/>
      <c r="D51" s="1788"/>
      <c r="E51" s="1788"/>
      <c r="F51" s="1788"/>
      <c r="G51" s="1789"/>
      <c r="H51" s="426">
        <v>40999</v>
      </c>
      <c r="I51" s="427" t="str">
        <f>'Løntabel gældende fra'!$D$1</f>
        <v>01-08-2026</v>
      </c>
      <c r="J51" s="232"/>
    </row>
    <row r="52" spans="1:10" ht="15" customHeight="1" thickBot="1">
      <c r="A52" s="1790" t="s">
        <v>177</v>
      </c>
      <c r="B52" s="1791"/>
      <c r="C52" s="1791"/>
      <c r="D52" s="1791"/>
      <c r="E52" s="1791"/>
      <c r="F52" s="228"/>
      <c r="G52" s="239"/>
      <c r="H52" s="297">
        <v>0</v>
      </c>
      <c r="I52" s="290">
        <f>H52+H52*'Løntabel gældende fra'!$D$7%</f>
        <v>0</v>
      </c>
      <c r="J52" s="232"/>
    </row>
    <row r="53" spans="1:10" ht="15" customHeight="1">
      <c r="A53" s="222"/>
      <c r="B53" s="222"/>
      <c r="C53" s="222"/>
      <c r="D53" s="222"/>
      <c r="E53" s="222"/>
      <c r="F53" s="223"/>
      <c r="G53" s="222"/>
      <c r="H53" s="223"/>
      <c r="I53" s="222"/>
      <c r="J53" s="232"/>
    </row>
    <row r="54" spans="1:10" ht="15" customHeight="1" thickBot="1">
      <c r="A54" s="222"/>
      <c r="B54" s="222"/>
      <c r="C54" s="222"/>
      <c r="D54" s="222"/>
      <c r="E54" s="222"/>
      <c r="F54" s="223"/>
      <c r="G54" s="222"/>
      <c r="H54" s="223"/>
      <c r="I54" s="222"/>
      <c r="J54" s="232"/>
    </row>
    <row r="55" spans="1:10" s="232" customFormat="1" ht="18" thickBot="1">
      <c r="A55" s="1114" t="s">
        <v>181</v>
      </c>
      <c r="B55" s="1115"/>
      <c r="C55" s="1115"/>
      <c r="D55" s="1115"/>
      <c r="E55" s="1115"/>
      <c r="F55" s="1115"/>
      <c r="G55" s="1115"/>
      <c r="H55" s="1115"/>
      <c r="I55" s="1116"/>
    </row>
    <row r="56" spans="1:10" s="232" customFormat="1" ht="13.8">
      <c r="A56" s="1784"/>
      <c r="B56" s="1785"/>
      <c r="C56" s="1785"/>
      <c r="D56" s="1785"/>
      <c r="E56" s="1785"/>
      <c r="F56" s="1785"/>
      <c r="G56" s="1786"/>
      <c r="H56" s="424" t="s">
        <v>95</v>
      </c>
      <c r="I56" s="425" t="s">
        <v>100</v>
      </c>
    </row>
    <row r="57" spans="1:10" s="232" customFormat="1" ht="14.4" thickBot="1">
      <c r="A57" s="1787"/>
      <c r="B57" s="1788"/>
      <c r="C57" s="1788"/>
      <c r="D57" s="1788"/>
      <c r="E57" s="1788"/>
      <c r="F57" s="1788"/>
      <c r="G57" s="1789"/>
      <c r="H57" s="426">
        <v>40999</v>
      </c>
      <c r="I57" s="427" t="str">
        <f>'Løntabel gældende fra'!$D$1</f>
        <v>01-08-2026</v>
      </c>
    </row>
    <row r="58" spans="1:10" s="232" customFormat="1" ht="14.4" thickBot="1">
      <c r="A58" s="1790" t="s">
        <v>181</v>
      </c>
      <c r="B58" s="1791"/>
      <c r="C58" s="1791"/>
      <c r="D58" s="1791"/>
      <c r="E58" s="1791"/>
      <c r="F58" s="228"/>
      <c r="G58" s="239"/>
      <c r="H58" s="297">
        <v>10500</v>
      </c>
      <c r="I58" s="298">
        <f>H58+H58*'Løntabel gældende fra'!$D$7%</f>
        <v>13368.642</v>
      </c>
    </row>
    <row r="59" spans="1:10" s="258" customFormat="1" ht="13.8">
      <c r="A59" s="255"/>
      <c r="B59" s="255"/>
      <c r="C59" s="255"/>
      <c r="D59" s="255"/>
      <c r="E59" s="255"/>
      <c r="F59" s="243"/>
      <c r="G59" s="243"/>
      <c r="H59" s="256"/>
      <c r="I59" s="257"/>
    </row>
  </sheetData>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defaultColWidth="8.77734375" defaultRowHeight="13.2"/>
  <cols>
    <col min="1" max="1" width="13.33203125" style="206" customWidth="1"/>
    <col min="2" max="2" width="15" style="206" customWidth="1"/>
    <col min="3" max="3" width="16.33203125" style="206" customWidth="1"/>
    <col min="4" max="4" width="16.109375" style="207" customWidth="1"/>
    <col min="5" max="5" width="17.33203125" style="206" customWidth="1"/>
    <col min="6" max="6" width="13.6640625" style="208" customWidth="1"/>
    <col min="7" max="7" width="0.33203125" style="208" customWidth="1"/>
    <col min="8" max="8" width="10.6640625" style="206" customWidth="1"/>
    <col min="9" max="16384" width="8.77734375" style="206"/>
  </cols>
  <sheetData>
    <row r="1" spans="1:9" s="2" customFormat="1" ht="22.05" customHeight="1">
      <c r="A1" s="1223" t="s">
        <v>19</v>
      </c>
      <c r="B1" s="1224"/>
      <c r="C1" s="1224"/>
      <c r="D1" s="1224"/>
      <c r="E1" s="1224"/>
      <c r="F1" s="1224"/>
      <c r="G1" s="1225"/>
      <c r="H1" s="387"/>
      <c r="I1" s="39"/>
    </row>
    <row r="2" spans="1:9" s="2" customFormat="1" ht="76.05" customHeight="1">
      <c r="A2" s="1807" t="s">
        <v>145</v>
      </c>
      <c r="B2" s="1808"/>
      <c r="C2" s="1808"/>
      <c r="D2" s="1808"/>
      <c r="E2" s="1808"/>
      <c r="F2" s="1808"/>
      <c r="G2" s="1809"/>
      <c r="H2" s="386"/>
    </row>
    <row r="3" spans="1:9" s="2" customFormat="1" ht="28.05" customHeight="1" thickBot="1">
      <c r="A3" s="1750" t="s">
        <v>200</v>
      </c>
      <c r="B3" s="1751"/>
      <c r="C3" s="1751"/>
      <c r="D3" s="1751"/>
      <c r="E3" s="1751"/>
      <c r="F3" s="1751"/>
      <c r="G3" s="1752"/>
      <c r="H3" s="387"/>
    </row>
    <row r="4" spans="1:9" ht="12" customHeight="1" thickBot="1">
      <c r="A4" s="1820"/>
      <c r="B4" s="1820"/>
      <c r="C4" s="1820"/>
      <c r="D4" s="1820"/>
      <c r="E4" s="1820"/>
      <c r="F4" s="1820"/>
      <c r="G4" s="1820"/>
    </row>
    <row r="5" spans="1:9" ht="18" thickBot="1">
      <c r="A5" s="446" t="s">
        <v>148</v>
      </c>
      <c r="B5" s="447"/>
      <c r="C5" s="447"/>
      <c r="D5" s="447"/>
      <c r="E5" s="447"/>
      <c r="F5" s="388"/>
      <c r="G5" s="448"/>
    </row>
    <row r="6" spans="1:9" ht="30" customHeight="1">
      <c r="A6" s="1117" t="s">
        <v>135</v>
      </c>
      <c r="B6" s="1117" t="s">
        <v>91</v>
      </c>
      <c r="C6" s="391" t="s">
        <v>97</v>
      </c>
      <c r="D6" s="392" t="s">
        <v>97</v>
      </c>
      <c r="E6" s="392" t="s">
        <v>98</v>
      </c>
      <c r="F6" s="311" t="s">
        <v>136</v>
      </c>
    </row>
    <row r="7" spans="1:9" ht="15" customHeight="1" thickBot="1">
      <c r="A7" s="1135"/>
      <c r="B7" s="1135"/>
      <c r="C7" s="333">
        <v>40999</v>
      </c>
      <c r="D7" s="309">
        <f>'Løntabel gældende fra'!C7</f>
        <v>46113</v>
      </c>
      <c r="E7" s="309">
        <f>'Løntabel gældende fra'!C7</f>
        <v>46113</v>
      </c>
      <c r="F7" s="384" t="s">
        <v>137</v>
      </c>
    </row>
    <row r="8" spans="1:9" ht="16.05" customHeight="1">
      <c r="A8" s="87">
        <v>1</v>
      </c>
      <c r="B8" s="87" t="s">
        <v>138</v>
      </c>
      <c r="C8" s="336">
        <f>12*22670</f>
        <v>272040</v>
      </c>
      <c r="D8" s="214">
        <f>C8+(C8*'Løntabel gældende fra'!$D$7%)</f>
        <v>346362.41616000002</v>
      </c>
      <c r="E8" s="348">
        <f>D8/12</f>
        <v>28863.534680000001</v>
      </c>
      <c r="F8" s="438">
        <f>(E8*12)/1672*1</f>
        <v>207.15455511961724</v>
      </c>
    </row>
    <row r="9" spans="1:9" ht="16.05" customHeight="1">
      <c r="A9" s="88">
        <v>2</v>
      </c>
      <c r="B9" s="88" t="s">
        <v>146</v>
      </c>
      <c r="C9" s="339">
        <f>25300*12</f>
        <v>303600</v>
      </c>
      <c r="D9" s="175">
        <f>C9+(C9*'Løntabel gældende fra'!$D$7%)</f>
        <v>386544.73440000002</v>
      </c>
      <c r="E9" s="269">
        <f>D9/12</f>
        <v>32212.0612</v>
      </c>
      <c r="F9" s="440">
        <f>(E9*12)/1672*1</f>
        <v>231.18704210526317</v>
      </c>
    </row>
    <row r="10" spans="1:9" ht="16.05" customHeight="1">
      <c r="A10" s="209">
        <v>3</v>
      </c>
      <c r="B10" s="441" t="s">
        <v>139</v>
      </c>
      <c r="C10" s="442">
        <f>27920*12</f>
        <v>335040</v>
      </c>
      <c r="D10" s="175">
        <f>C10+(C10*'Løntabel gældende fra'!$D$7%)</f>
        <v>426574.26815999998</v>
      </c>
      <c r="E10" s="269">
        <f>D10/12</f>
        <v>35547.855680000001</v>
      </c>
      <c r="F10" s="440">
        <f>(E10*12)/1672*1</f>
        <v>255.12815081339713</v>
      </c>
    </row>
    <row r="11" spans="1:9" ht="16.05" customHeight="1" thickBot="1">
      <c r="A11" s="210">
        <v>4</v>
      </c>
      <c r="B11" s="443" t="s">
        <v>147</v>
      </c>
      <c r="C11" s="444">
        <f>29200*12</f>
        <v>350400</v>
      </c>
      <c r="D11" s="159">
        <f>C11+(C11*'Løntabel gældende fra'!$D$7%)</f>
        <v>446130.68160000001</v>
      </c>
      <c r="E11" s="350">
        <f>D11/12</f>
        <v>37177.556799999998</v>
      </c>
      <c r="F11" s="439">
        <f>(E11*12)/1672*1</f>
        <v>266.82457033492824</v>
      </c>
    </row>
    <row r="12" spans="1:9" ht="10.95" customHeight="1" thickBot="1"/>
    <row r="13" spans="1:9" ht="18" thickBot="1">
      <c r="A13" s="1123" t="s">
        <v>149</v>
      </c>
      <c r="B13" s="1124"/>
      <c r="C13" s="1124"/>
      <c r="D13" s="1124"/>
      <c r="E13" s="1193"/>
      <c r="F13" s="200"/>
    </row>
    <row r="14" spans="1:9" ht="30" customHeight="1">
      <c r="A14" s="1117" t="s">
        <v>135</v>
      </c>
      <c r="B14" s="391" t="s">
        <v>97</v>
      </c>
      <c r="C14" s="392" t="s">
        <v>97</v>
      </c>
      <c r="D14" s="392" t="s">
        <v>98</v>
      </c>
      <c r="E14" s="311" t="s">
        <v>136</v>
      </c>
      <c r="F14" s="40"/>
    </row>
    <row r="15" spans="1:9" ht="16.95" customHeight="1" thickBot="1">
      <c r="A15" s="1135"/>
      <c r="B15" s="333">
        <v>40999</v>
      </c>
      <c r="C15" s="309">
        <f>'Løntabel gældende fra'!C7</f>
        <v>46113</v>
      </c>
      <c r="D15" s="309">
        <f>'Løntabel gældende fra'!C7</f>
        <v>46113</v>
      </c>
      <c r="E15" s="384" t="s">
        <v>137</v>
      </c>
      <c r="F15" s="40"/>
    </row>
    <row r="16" spans="1:9" ht="16.05" customHeight="1">
      <c r="A16" s="87" t="s">
        <v>140</v>
      </c>
      <c r="B16" s="336">
        <f>12*13140</f>
        <v>157680</v>
      </c>
      <c r="C16" s="214">
        <f>B16+(B16*'Løntabel gældende fra'!$D$7%)</f>
        <v>200758.80671999999</v>
      </c>
      <c r="D16" s="348">
        <f>C16/12</f>
        <v>16729.900559999998</v>
      </c>
      <c r="E16" s="438">
        <f>(D16*12)/1672*1</f>
        <v>120.07105665071769</v>
      </c>
      <c r="F16" s="213"/>
    </row>
    <row r="17" spans="1:8" ht="16.05" customHeight="1" thickBot="1">
      <c r="A17" s="89" t="s">
        <v>141</v>
      </c>
      <c r="B17" s="337">
        <f>12*13800</f>
        <v>165600</v>
      </c>
      <c r="C17" s="159">
        <f>B17+(B17*'Løntabel gældende fra'!$D$7%)</f>
        <v>210842.58240000001</v>
      </c>
      <c r="D17" s="350">
        <f>C17/12</f>
        <v>17570.215200000002</v>
      </c>
      <c r="E17" s="439">
        <f>(D17*12)/1672*1</f>
        <v>126.10202296650719</v>
      </c>
      <c r="F17" s="213"/>
    </row>
    <row r="18" spans="1:8" ht="13.05" customHeight="1" thickBot="1"/>
    <row r="19" spans="1:8" ht="18" thickBot="1">
      <c r="A19" s="1123" t="s">
        <v>150</v>
      </c>
      <c r="B19" s="1124"/>
      <c r="C19" s="1124"/>
      <c r="D19" s="1124"/>
      <c r="E19" s="1193"/>
    </row>
    <row r="20" spans="1:8" ht="30" customHeight="1">
      <c r="A20" s="314" t="s">
        <v>135</v>
      </c>
      <c r="B20" s="391" t="s">
        <v>97</v>
      </c>
      <c r="C20" s="392" t="s">
        <v>97</v>
      </c>
      <c r="D20" s="392" t="s">
        <v>98</v>
      </c>
      <c r="E20" s="311" t="s">
        <v>136</v>
      </c>
    </row>
    <row r="21" spans="1:8" ht="16.05" customHeight="1" thickBot="1">
      <c r="A21" s="335"/>
      <c r="B21" s="333">
        <v>40999</v>
      </c>
      <c r="C21" s="309">
        <f>'Løntabel gældende fra'!C7</f>
        <v>46113</v>
      </c>
      <c r="D21" s="309">
        <f>'Løntabel gældende fra'!C7</f>
        <v>46113</v>
      </c>
      <c r="E21" s="384" t="s">
        <v>137</v>
      </c>
    </row>
    <row r="22" spans="1:8" ht="16.05" customHeight="1" thickBot="1">
      <c r="A22" s="211" t="s">
        <v>140</v>
      </c>
      <c r="B22" s="351">
        <f>12*18700</f>
        <v>224400</v>
      </c>
      <c r="C22" s="215">
        <f>B22+(B22*'Løntabel gældende fra'!$D$7%)</f>
        <v>285706.97759999998</v>
      </c>
      <c r="D22" s="216">
        <f>C22/12</f>
        <v>23808.914799999999</v>
      </c>
      <c r="E22" s="445">
        <f>(D22*12)/1672*1</f>
        <v>170.87737894736841</v>
      </c>
      <c r="F22" s="207"/>
      <c r="G22" s="207"/>
    </row>
    <row r="23" spans="1:8" s="248" customFormat="1" ht="12" customHeight="1" thickBot="1">
      <c r="A23" s="40"/>
      <c r="B23" s="256"/>
      <c r="C23" s="256"/>
      <c r="D23" s="256"/>
      <c r="E23" s="212"/>
      <c r="F23" s="385"/>
      <c r="G23" s="385"/>
    </row>
    <row r="24" spans="1:8" ht="18" thickBot="1">
      <c r="A24" s="1123" t="s">
        <v>152</v>
      </c>
      <c r="B24" s="1124"/>
      <c r="C24" s="1124"/>
      <c r="D24" s="1124"/>
      <c r="E24" s="1193"/>
      <c r="F24" s="200"/>
      <c r="G24" s="200"/>
      <c r="H24" s="200"/>
    </row>
    <row r="25" spans="1:8" ht="31.05" customHeight="1" thickBot="1">
      <c r="A25" s="1157" t="s">
        <v>135</v>
      </c>
      <c r="B25" s="1117" t="s">
        <v>20</v>
      </c>
      <c r="C25" s="393" t="s">
        <v>207</v>
      </c>
      <c r="D25" s="394">
        <v>0.17299999999999999</v>
      </c>
      <c r="E25" s="401"/>
      <c r="F25" s="395"/>
      <c r="G25" s="398"/>
      <c r="H25" s="399"/>
    </row>
    <row r="26" spans="1:8" ht="45" customHeight="1" thickBot="1">
      <c r="A26" s="1293"/>
      <c r="B26" s="1135"/>
      <c r="C26" s="199" t="s">
        <v>21</v>
      </c>
      <c r="D26" s="397" t="s">
        <v>208</v>
      </c>
      <c r="E26" s="392" t="s">
        <v>22</v>
      </c>
      <c r="F26" s="1824"/>
      <c r="G26" s="1824"/>
      <c r="H26" s="400"/>
    </row>
    <row r="27" spans="1:8" ht="16.05" customHeight="1">
      <c r="A27" s="341">
        <v>1</v>
      </c>
      <c r="B27" s="158">
        <f>E8</f>
        <v>28863.534680000001</v>
      </c>
      <c r="C27" s="158">
        <f>E27*1/3</f>
        <v>1664.4638332133334</v>
      </c>
      <c r="D27" s="332">
        <f>E27*2/3</f>
        <v>3328.9276664266667</v>
      </c>
      <c r="E27" s="158">
        <f>B27*$D$25</f>
        <v>4993.3914996399999</v>
      </c>
      <c r="F27" s="395"/>
      <c r="G27" s="396"/>
      <c r="H27" s="248"/>
    </row>
    <row r="28" spans="1:8" ht="16.05" customHeight="1">
      <c r="A28" s="402">
        <v>2</v>
      </c>
      <c r="B28" s="175">
        <f>E9</f>
        <v>32212.0612</v>
      </c>
      <c r="C28" s="175">
        <f>E28*1/3</f>
        <v>1857.5621958666663</v>
      </c>
      <c r="D28" s="339">
        <f>E28*2/3</f>
        <v>3715.1243917333327</v>
      </c>
      <c r="E28" s="175">
        <f>B28*$D$25</f>
        <v>5572.6865875999993</v>
      </c>
      <c r="F28" s="395"/>
      <c r="G28" s="396"/>
      <c r="H28" s="248"/>
    </row>
    <row r="29" spans="1:8" ht="16.05" customHeight="1">
      <c r="A29" s="402">
        <v>3</v>
      </c>
      <c r="B29" s="175">
        <f>E10</f>
        <v>35547.855680000001</v>
      </c>
      <c r="C29" s="175">
        <f>E29*1/3</f>
        <v>2049.9263442133333</v>
      </c>
      <c r="D29" s="339">
        <f>E29*2/3</f>
        <v>4099.8526884266666</v>
      </c>
      <c r="E29" s="175">
        <f>B29*$D$25</f>
        <v>6149.77903264</v>
      </c>
      <c r="F29" s="395"/>
      <c r="G29" s="396"/>
      <c r="H29" s="248"/>
    </row>
    <row r="30" spans="1:8" ht="16.05" customHeight="1" thickBot="1">
      <c r="A30" s="343">
        <v>4</v>
      </c>
      <c r="B30" s="159">
        <f>E11</f>
        <v>37177.556799999998</v>
      </c>
      <c r="C30" s="159">
        <f>E30*1/3</f>
        <v>2143.9057754666665</v>
      </c>
      <c r="D30" s="337">
        <f>E30*2/3</f>
        <v>4287.8115509333329</v>
      </c>
      <c r="E30" s="159">
        <f>B30*$D$25</f>
        <v>6431.7173263999994</v>
      </c>
      <c r="F30" s="395"/>
      <c r="G30" s="396"/>
      <c r="H30" s="248"/>
    </row>
    <row r="31" spans="1:8" ht="12" customHeight="1" thickBot="1">
      <c r="A31" s="40"/>
      <c r="B31" s="217"/>
      <c r="C31" s="217"/>
      <c r="D31" s="217"/>
      <c r="E31" s="212"/>
      <c r="F31" s="207"/>
      <c r="G31" s="207"/>
    </row>
    <row r="32" spans="1:8" ht="26.25" customHeight="1" thickBot="1">
      <c r="A32" s="1825" t="s">
        <v>153</v>
      </c>
      <c r="B32" s="1826"/>
      <c r="C32" s="1826"/>
      <c r="D32" s="1826"/>
      <c r="E32" s="1827"/>
      <c r="F32" s="104" t="s">
        <v>89</v>
      </c>
      <c r="G32" s="207"/>
    </row>
    <row r="33" spans="1:8" ht="28.95" customHeight="1" thickBot="1">
      <c r="A33" s="1111" t="s">
        <v>151</v>
      </c>
      <c r="B33" s="1112"/>
      <c r="C33" s="1112"/>
      <c r="D33" s="1112"/>
      <c r="E33" s="1819"/>
      <c r="F33" s="437">
        <v>160</v>
      </c>
      <c r="G33" s="207"/>
    </row>
    <row r="34" spans="1:8" ht="4.5" customHeight="1">
      <c r="A34" s="389"/>
      <c r="B34" s="389"/>
      <c r="C34" s="389"/>
      <c r="D34" s="389"/>
      <c r="E34" s="389"/>
      <c r="F34" s="390"/>
      <c r="G34" s="207"/>
    </row>
    <row r="35" spans="1:8" s="232" customFormat="1" ht="28.05" customHeight="1">
      <c r="A35" s="1821" t="s">
        <v>142</v>
      </c>
      <c r="B35" s="1821"/>
      <c r="C35" s="1821"/>
      <c r="D35" s="1821"/>
      <c r="E35" s="1821"/>
      <c r="F35" s="1821"/>
      <c r="G35" s="1821"/>
    </row>
    <row r="36" spans="1:8" s="232" customFormat="1" ht="30" customHeight="1">
      <c r="A36" s="1822" t="s">
        <v>143</v>
      </c>
      <c r="B36" s="1822"/>
      <c r="C36" s="1822"/>
      <c r="D36" s="1822"/>
      <c r="E36" s="1822"/>
      <c r="F36" s="1822"/>
      <c r="G36" s="1822"/>
      <c r="H36" s="403"/>
    </row>
    <row r="37" spans="1:8" s="232" customFormat="1" ht="32.25" customHeight="1">
      <c r="A37" s="1823" t="s">
        <v>144</v>
      </c>
      <c r="B37" s="1823"/>
      <c r="C37" s="1823"/>
      <c r="D37" s="1823"/>
      <c r="E37" s="1823"/>
      <c r="F37" s="1823"/>
      <c r="G37" s="1823"/>
    </row>
    <row r="39" spans="1:8">
      <c r="A39" s="218"/>
      <c r="B39" s="218"/>
    </row>
    <row r="40" spans="1:8">
      <c r="A40" s="218"/>
      <c r="B40" s="218"/>
      <c r="C40" s="219"/>
    </row>
    <row r="41" spans="1:8">
      <c r="C41" s="220"/>
    </row>
    <row r="42" spans="1:8">
      <c r="C42" s="220"/>
    </row>
    <row r="43" spans="1:8">
      <c r="C43" s="220"/>
    </row>
    <row r="44" spans="1:8">
      <c r="C44" s="221"/>
    </row>
  </sheetData>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topLeftCell="A45" zoomScaleNormal="125" zoomScaleSheetLayoutView="100" zoomScalePageLayoutView="125" workbookViewId="0">
      <selection activeCell="D14" sqref="D14"/>
    </sheetView>
  </sheetViews>
  <sheetFormatPr defaultColWidth="8.77734375" defaultRowHeight="13.2"/>
  <cols>
    <col min="1" max="1" width="9" style="206" customWidth="1"/>
    <col min="2" max="2" width="11.6640625" style="206" customWidth="1"/>
    <col min="3" max="3" width="11.109375" style="206" customWidth="1"/>
    <col min="4" max="4" width="11.33203125" style="206" customWidth="1"/>
    <col min="5" max="5" width="10.6640625" style="206" customWidth="1"/>
    <col min="6" max="6" width="11.6640625" style="206" customWidth="1"/>
    <col min="7" max="7" width="11.77734375" style="206" customWidth="1"/>
    <col min="8" max="8" width="11.109375" style="206" customWidth="1"/>
    <col min="9" max="9" width="11.33203125" style="206" customWidth="1"/>
    <col min="10" max="10" width="11.5546875" style="206" customWidth="1"/>
    <col min="11" max="16384" width="8.77734375" style="206"/>
  </cols>
  <sheetData>
    <row r="1" spans="1:16" ht="21">
      <c r="A1" s="1223" t="s">
        <v>19</v>
      </c>
      <c r="B1" s="1224"/>
      <c r="C1" s="1224"/>
      <c r="D1" s="1224"/>
      <c r="E1" s="1224"/>
      <c r="F1" s="1224"/>
      <c r="G1" s="1224"/>
      <c r="H1" s="1224"/>
      <c r="I1" s="1224"/>
      <c r="J1" s="1225"/>
    </row>
    <row r="2" spans="1:16" ht="37.950000000000003" customHeight="1">
      <c r="A2" s="1807" t="s">
        <v>186</v>
      </c>
      <c r="B2" s="1808"/>
      <c r="C2" s="1808"/>
      <c r="D2" s="1808"/>
      <c r="E2" s="1808"/>
      <c r="F2" s="1808"/>
      <c r="G2" s="1808"/>
      <c r="H2" s="1808"/>
      <c r="I2" s="1808"/>
      <c r="J2" s="1809"/>
    </row>
    <row r="3" spans="1:16" ht="21">
      <c r="A3" s="1237" t="str">
        <f>'Forside 1'!A6:I6</f>
        <v>Gældende fra 1. august 2026</v>
      </c>
      <c r="B3" s="1238"/>
      <c r="C3" s="1238"/>
      <c r="D3" s="1238"/>
      <c r="E3" s="1238"/>
      <c r="F3" s="1238"/>
      <c r="G3" s="1238"/>
      <c r="H3" s="1238"/>
      <c r="I3" s="1238"/>
      <c r="J3" s="1239"/>
    </row>
    <row r="4" spans="1:16" ht="16.95" customHeight="1">
      <c r="A4" s="1840" t="s">
        <v>433</v>
      </c>
      <c r="B4" s="1841"/>
      <c r="C4" s="1841"/>
      <c r="D4" s="1841"/>
      <c r="E4" s="1841"/>
      <c r="F4" s="1841"/>
      <c r="G4" s="1841"/>
      <c r="H4" s="1841"/>
      <c r="I4" s="1841"/>
      <c r="J4" s="1842"/>
    </row>
    <row r="5" spans="1:16" ht="7.95" customHeight="1">
      <c r="A5" s="1840" t="s">
        <v>432</v>
      </c>
      <c r="B5" s="1841"/>
      <c r="C5" s="1841"/>
      <c r="D5" s="1841"/>
      <c r="E5" s="1841"/>
      <c r="F5" s="1841"/>
      <c r="G5" s="1841"/>
      <c r="H5" s="1841"/>
      <c r="I5" s="1841"/>
      <c r="J5" s="1842"/>
      <c r="L5" s="233"/>
      <c r="M5" s="232"/>
      <c r="N5" s="232"/>
      <c r="O5" s="232"/>
      <c r="P5" s="232"/>
    </row>
    <row r="6" spans="1:16" ht="7.05" customHeight="1" thickBot="1">
      <c r="A6" s="1843"/>
      <c r="B6" s="1844"/>
      <c r="C6" s="1844"/>
      <c r="D6" s="1844"/>
      <c r="E6" s="1844"/>
      <c r="F6" s="1844"/>
      <c r="G6" s="1844"/>
      <c r="H6" s="1844"/>
      <c r="I6" s="1844"/>
      <c r="J6" s="1845"/>
      <c r="L6" s="233"/>
      <c r="M6" s="232"/>
      <c r="N6" s="232"/>
      <c r="O6" s="232"/>
      <c r="P6" s="232"/>
    </row>
    <row r="7" spans="1:16" s="248" customFormat="1" ht="18" customHeight="1" thickBot="1">
      <c r="A7" s="513"/>
      <c r="B7" s="513"/>
      <c r="C7" s="513"/>
      <c r="D7" s="513"/>
      <c r="E7" s="513"/>
      <c r="F7" s="513"/>
      <c r="G7" s="514"/>
      <c r="H7" s="514"/>
      <c r="I7" s="514"/>
      <c r="J7" s="514"/>
      <c r="L7" s="515"/>
      <c r="M7" s="258"/>
      <c r="N7" s="258"/>
      <c r="O7" s="258"/>
      <c r="P7" s="258"/>
    </row>
    <row r="8" spans="1:16" ht="21" customHeight="1" thickBot="1">
      <c r="A8" s="1810" t="s">
        <v>428</v>
      </c>
      <c r="B8" s="1811"/>
      <c r="C8" s="1811"/>
      <c r="D8" s="1811"/>
      <c r="E8" s="1811"/>
      <c r="F8" s="1812"/>
      <c r="G8" s="1701" t="s">
        <v>165</v>
      </c>
      <c r="H8" s="1702"/>
      <c r="I8" s="1702"/>
      <c r="J8" s="1703"/>
      <c r="L8" s="233"/>
      <c r="M8" s="232"/>
      <c r="N8" s="232"/>
      <c r="O8" s="232"/>
      <c r="P8" s="232"/>
    </row>
    <row r="9" spans="1:16" ht="26.4">
      <c r="A9" s="430" t="s">
        <v>57</v>
      </c>
      <c r="B9" s="430" t="s">
        <v>72</v>
      </c>
      <c r="C9" s="433" t="s">
        <v>73</v>
      </c>
      <c r="D9" s="430" t="s">
        <v>74</v>
      </c>
      <c r="E9" s="430" t="s">
        <v>75</v>
      </c>
      <c r="F9" s="430" t="s">
        <v>76</v>
      </c>
      <c r="G9" s="434" t="s">
        <v>182</v>
      </c>
      <c r="H9" s="435" t="s">
        <v>183</v>
      </c>
      <c r="I9" s="435" t="s">
        <v>184</v>
      </c>
      <c r="J9" s="436">
        <v>0.15</v>
      </c>
    </row>
    <row r="10" spans="1:16" ht="16.05" customHeight="1">
      <c r="A10" s="284">
        <v>14</v>
      </c>
      <c r="B10" s="576">
        <f>'Statens skalatrin'!D46</f>
        <v>24149.58</v>
      </c>
      <c r="C10" s="576">
        <f>'Statens skalatrin'!F46</f>
        <v>24652.5</v>
      </c>
      <c r="D10" s="576">
        <f>'Statens skalatrin'!H46</f>
        <v>25000.67</v>
      </c>
      <c r="E10" s="576">
        <f>'Statens skalatrin'!J46</f>
        <v>25503.42</v>
      </c>
      <c r="F10" s="576">
        <f>'Statens skalatrin'!L46</f>
        <v>25851.58</v>
      </c>
      <c r="G10" s="1830">
        <f>'Statens skalatrin'!O46+(F21/12)</f>
        <v>22998.226666666669</v>
      </c>
      <c r="H10" s="1830">
        <f>ROUND(J10*1/3,2)</f>
        <v>1149.9100000000001</v>
      </c>
      <c r="I10" s="1830">
        <f>ROUND(J10*2/3,2)</f>
        <v>2299.8200000000002</v>
      </c>
      <c r="J10" s="1830">
        <f>ROUND(G10*$J$9,2)</f>
        <v>3449.73</v>
      </c>
    </row>
    <row r="11" spans="1:16" ht="16.05" customHeight="1">
      <c r="A11" s="347" t="s">
        <v>205</v>
      </c>
      <c r="B11" s="450">
        <f>B10+($F$21/12)</f>
        <v>24568.67666666667</v>
      </c>
      <c r="C11" s="450">
        <f t="shared" ref="C11:F11" si="0">C10+($F$21/12)</f>
        <v>25071.596666666668</v>
      </c>
      <c r="D11" s="450">
        <f t="shared" si="0"/>
        <v>25419.766666666666</v>
      </c>
      <c r="E11" s="450">
        <f t="shared" si="0"/>
        <v>25922.516666666666</v>
      </c>
      <c r="F11" s="450">
        <f t="shared" si="0"/>
        <v>26270.67666666667</v>
      </c>
      <c r="G11" s="1831"/>
      <c r="H11" s="1831"/>
      <c r="I11" s="1831"/>
      <c r="J11" s="1831"/>
    </row>
    <row r="12" spans="1:16" ht="16.05" customHeight="1">
      <c r="A12" s="284">
        <v>17</v>
      </c>
      <c r="B12" s="450">
        <f>'Statens skalatrin'!D55</f>
        <v>25358.5</v>
      </c>
      <c r="C12" s="450">
        <f>'Statens skalatrin'!F55</f>
        <v>25900.58</v>
      </c>
      <c r="D12" s="577">
        <f>'Statens skalatrin'!H55</f>
        <v>26275.83</v>
      </c>
      <c r="E12" s="450">
        <f>'Statens skalatrin'!J55</f>
        <v>26817.83</v>
      </c>
      <c r="F12" s="450">
        <f>'Statens skalatrin'!L55</f>
        <v>27192.92</v>
      </c>
      <c r="G12" s="1830">
        <f>'Statens skalatrin'!O55+(F22/12)</f>
        <v>24058.679166666669</v>
      </c>
      <c r="H12" s="1830">
        <f>ROUND(J12*1/3,2)</f>
        <v>1202.93</v>
      </c>
      <c r="I12" s="1830">
        <f>ROUND(J12*2/3,2)</f>
        <v>2405.87</v>
      </c>
      <c r="J12" s="1830">
        <f>ROUND(G12*$J$9,2)</f>
        <v>3608.8</v>
      </c>
    </row>
    <row r="13" spans="1:16" ht="16.05" customHeight="1">
      <c r="A13" s="896" t="s">
        <v>519</v>
      </c>
      <c r="B13" s="577">
        <f>B12+($F$22/12)</f>
        <v>25600.409166666668</v>
      </c>
      <c r="C13" s="577">
        <f>C12+($F$22/12)</f>
        <v>26142.48916666667</v>
      </c>
      <c r="D13" s="577">
        <f>D12+($F$22/12)</f>
        <v>26517.73916666667</v>
      </c>
      <c r="E13" s="577">
        <f>E12+($F$22/12)</f>
        <v>27059.73916666667</v>
      </c>
      <c r="F13" s="577">
        <f>F12+($F$22/12)</f>
        <v>27434.829166666666</v>
      </c>
      <c r="G13" s="1831"/>
      <c r="H13" s="1831"/>
      <c r="I13" s="1831"/>
      <c r="J13" s="1831"/>
    </row>
    <row r="14" spans="1:16" ht="16.05" customHeight="1">
      <c r="A14" s="896">
        <v>21</v>
      </c>
      <c r="B14" s="577">
        <f>'Statens skalatrin'!D67</f>
        <v>26969.83</v>
      </c>
      <c r="C14" s="577">
        <f>'Statens skalatrin'!F67</f>
        <v>27569.25</v>
      </c>
      <c r="D14" s="577">
        <f>'Statens skalatrin'!H67</f>
        <v>27984.17</v>
      </c>
      <c r="E14" s="577">
        <f>'Statens skalatrin'!J67</f>
        <v>28583.5</v>
      </c>
      <c r="F14" s="577">
        <f>'Statens skalatrin'!L67</f>
        <v>28998.5</v>
      </c>
      <c r="G14" s="1830">
        <f>'Statens skalatrin'!O67+(F23/12)</f>
        <v>26009.787499999999</v>
      </c>
      <c r="H14" s="1830">
        <f>ROUND(J14*1/3,2)</f>
        <v>1300.49</v>
      </c>
      <c r="I14" s="1830">
        <f>ROUND(J14*2/3,2)</f>
        <v>2600.98</v>
      </c>
      <c r="J14" s="1830">
        <f>ROUND(G14*$J$9,2)</f>
        <v>3901.47</v>
      </c>
    </row>
    <row r="15" spans="1:16" ht="16.05" customHeight="1" thickBot="1">
      <c r="A15" s="897" t="s">
        <v>455</v>
      </c>
      <c r="B15" s="578">
        <f>B14+($F$23/12)</f>
        <v>27347.547500000001</v>
      </c>
      <c r="C15" s="578">
        <f>C14+($F$23/12)</f>
        <v>27946.967499999999</v>
      </c>
      <c r="D15" s="578">
        <f>D14+($F$23/12)</f>
        <v>28361.887499999997</v>
      </c>
      <c r="E15" s="578">
        <f>E14+($F$23/12)</f>
        <v>28961.217499999999</v>
      </c>
      <c r="F15" s="578">
        <f>F14+($F$23/12)</f>
        <v>29376.217499999999</v>
      </c>
      <c r="G15" s="1833"/>
      <c r="H15" s="1833"/>
      <c r="I15" s="1833"/>
      <c r="J15" s="1833"/>
    </row>
    <row r="16" spans="1:16" ht="16.95" customHeight="1" thickBot="1">
      <c r="A16" s="232"/>
      <c r="B16" s="226"/>
      <c r="C16" s="226"/>
      <c r="D16" s="226"/>
      <c r="E16" s="226"/>
      <c r="F16" s="226"/>
      <c r="G16" s="249"/>
      <c r="H16" s="250"/>
      <c r="I16" s="251"/>
      <c r="J16" s="251"/>
    </row>
    <row r="17" spans="1:10" ht="21" customHeight="1">
      <c r="A17" s="1114" t="s">
        <v>160</v>
      </c>
      <c r="B17" s="1115"/>
      <c r="C17" s="1115"/>
      <c r="D17" s="1115"/>
      <c r="E17" s="1115"/>
      <c r="F17" s="1116"/>
      <c r="G17" s="200"/>
      <c r="H17" s="200"/>
      <c r="I17" s="200"/>
      <c r="J17" s="222"/>
    </row>
    <row r="18" spans="1:10" ht="21" customHeight="1" thickBot="1">
      <c r="A18" s="1169" t="s">
        <v>520</v>
      </c>
      <c r="B18" s="1170"/>
      <c r="C18" s="1170"/>
      <c r="D18" s="1170"/>
      <c r="E18" s="1170"/>
      <c r="F18" s="1171"/>
      <c r="G18" s="200"/>
      <c r="H18" s="200"/>
      <c r="I18" s="200"/>
      <c r="J18" s="222"/>
    </row>
    <row r="19" spans="1:10" ht="27" customHeight="1">
      <c r="A19" s="1854" t="s">
        <v>518</v>
      </c>
      <c r="B19" s="1855"/>
      <c r="C19" s="1855"/>
      <c r="D19" s="1855"/>
      <c r="E19" s="873" t="s">
        <v>128</v>
      </c>
      <c r="F19" s="874" t="s">
        <v>306</v>
      </c>
      <c r="G19" s="243"/>
      <c r="H19" s="232"/>
      <c r="I19" s="232"/>
      <c r="J19" s="222"/>
    </row>
    <row r="20" spans="1:10" ht="15" customHeight="1">
      <c r="A20" s="1787"/>
      <c r="B20" s="1788"/>
      <c r="C20" s="1788"/>
      <c r="D20" s="1788"/>
      <c r="E20" s="516">
        <v>40999</v>
      </c>
      <c r="F20" s="882" t="str">
        <f>'Løntabel gældende fra'!D1</f>
        <v>01-08-2026</v>
      </c>
      <c r="G20" s="243"/>
      <c r="H20" s="232"/>
      <c r="I20" s="232"/>
      <c r="J20" s="222"/>
    </row>
    <row r="21" spans="1:10" ht="15" customHeight="1">
      <c r="A21" s="1797" t="s">
        <v>453</v>
      </c>
      <c r="B21" s="1798"/>
      <c r="C21" s="1798"/>
      <c r="D21" s="1832"/>
      <c r="E21" s="894">
        <v>3950</v>
      </c>
      <c r="F21" s="895">
        <f>ROUND(E21+(E21*'Løntabel gældende fra'!$D$7%),2)</f>
        <v>5029.16</v>
      </c>
      <c r="G21" s="243"/>
      <c r="H21" s="232"/>
      <c r="I21" s="232"/>
      <c r="J21" s="222"/>
    </row>
    <row r="22" spans="1:10" ht="16.05" customHeight="1">
      <c r="A22" s="1797" t="s">
        <v>517</v>
      </c>
      <c r="B22" s="1798"/>
      <c r="C22" s="1798"/>
      <c r="D22" s="1832"/>
      <c r="E22" s="894">
        <v>2280</v>
      </c>
      <c r="F22" s="895">
        <f>ROUND(E22+(E22*'Løntabel gældende fra'!$D$7%),2)</f>
        <v>2902.91</v>
      </c>
      <c r="G22" s="243"/>
      <c r="H22" s="232"/>
      <c r="I22" s="232"/>
      <c r="J22" s="222"/>
    </row>
    <row r="23" spans="1:10" ht="16.05" customHeight="1" thickBot="1">
      <c r="A23" s="1790" t="s">
        <v>454</v>
      </c>
      <c r="B23" s="1791"/>
      <c r="C23" s="1791"/>
      <c r="D23" s="1864"/>
      <c r="E23" s="948">
        <v>3560</v>
      </c>
      <c r="F23" s="949">
        <f>ROUND(E23+(E23*'Løntabel gældende fra'!$D$7%),2)</f>
        <v>4532.6099999999997</v>
      </c>
      <c r="G23" s="243"/>
      <c r="H23" s="232"/>
      <c r="I23" s="232"/>
      <c r="J23" s="222"/>
    </row>
    <row r="24" spans="1:10" ht="16.05" customHeight="1" thickBot="1">
      <c r="A24" s="1865"/>
      <c r="B24" s="1866"/>
      <c r="C24" s="1866"/>
      <c r="D24" s="1866"/>
      <c r="E24" s="1866"/>
      <c r="F24" s="1866"/>
      <c r="G24" s="1866"/>
      <c r="H24" s="1866"/>
      <c r="I24" s="1866"/>
      <c r="J24" s="1866"/>
    </row>
    <row r="25" spans="1:10" s="222" customFormat="1" ht="27" customHeight="1">
      <c r="A25" s="1177" t="s">
        <v>188</v>
      </c>
      <c r="B25" s="1250"/>
      <c r="C25" s="1250"/>
      <c r="D25" s="1250"/>
      <c r="E25" s="1250"/>
      <c r="F25" s="1250"/>
      <c r="G25" s="1251"/>
    </row>
    <row r="26" spans="1:10" s="222" customFormat="1" ht="16.05" customHeight="1" thickBot="1">
      <c r="A26" s="1104" t="s">
        <v>280</v>
      </c>
      <c r="B26" s="1105"/>
      <c r="C26" s="1105"/>
      <c r="D26" s="1105"/>
      <c r="E26" s="1105"/>
      <c r="F26" s="1105"/>
      <c r="G26" s="1106"/>
    </row>
    <row r="27" spans="1:10" s="222" customFormat="1" ht="15.6">
      <c r="A27" s="1717"/>
      <c r="B27" s="1718"/>
      <c r="C27" s="1719"/>
      <c r="D27" s="1769" t="s">
        <v>307</v>
      </c>
      <c r="E27" s="1769"/>
      <c r="F27" s="1699" t="s">
        <v>308</v>
      </c>
      <c r="G27" s="1700"/>
    </row>
    <row r="28" spans="1:10" s="222" customFormat="1" ht="13.05" customHeight="1" thickBot="1">
      <c r="A28" s="1720"/>
      <c r="B28" s="1721"/>
      <c r="C28" s="1722"/>
      <c r="D28" s="1706">
        <v>40999</v>
      </c>
      <c r="E28" s="1707"/>
      <c r="F28" s="1697" t="str">
        <f>'Løntabel gældende fra'!$D$1</f>
        <v>01-08-2026</v>
      </c>
      <c r="G28" s="1698"/>
    </row>
    <row r="29" spans="1:10" s="222" customFormat="1" ht="16.05" customHeight="1" thickBot="1">
      <c r="A29" s="1834" t="s">
        <v>159</v>
      </c>
      <c r="B29" s="1835"/>
      <c r="C29" s="1836"/>
      <c r="D29" s="1837">
        <v>148</v>
      </c>
      <c r="E29" s="1838"/>
      <c r="F29" s="1839">
        <f>ROUND(+D29*(1+'Løntabel gældende fra'!$D$7/100),2)</f>
        <v>188.43</v>
      </c>
      <c r="G29" s="1838"/>
    </row>
    <row r="30" spans="1:10" ht="15" customHeight="1" thickBot="1">
      <c r="A30" s="241"/>
      <c r="B30" s="240"/>
      <c r="C30" s="240"/>
      <c r="D30" s="240"/>
      <c r="E30" s="240"/>
      <c r="F30" s="240"/>
      <c r="G30" s="232"/>
      <c r="H30" s="231"/>
      <c r="I30" s="231"/>
      <c r="J30" s="222"/>
    </row>
    <row r="31" spans="1:10" s="222" customFormat="1" ht="27" customHeight="1">
      <c r="A31" s="1177" t="s">
        <v>441</v>
      </c>
      <c r="B31" s="1250"/>
      <c r="C31" s="1250"/>
      <c r="D31" s="1250"/>
      <c r="E31" s="1250"/>
      <c r="F31" s="1250"/>
      <c r="G31" s="1251"/>
    </row>
    <row r="32" spans="1:10" s="222" customFormat="1" ht="16.05" customHeight="1" thickBot="1">
      <c r="A32" s="1104" t="s">
        <v>280</v>
      </c>
      <c r="B32" s="1105"/>
      <c r="C32" s="1105"/>
      <c r="D32" s="1105"/>
      <c r="E32" s="1105"/>
      <c r="F32" s="1105"/>
      <c r="G32" s="1106"/>
    </row>
    <row r="33" spans="1:10" s="222" customFormat="1" ht="15.6">
      <c r="A33" s="1717"/>
      <c r="B33" s="1718"/>
      <c r="C33" s="1719"/>
      <c r="D33" s="1769" t="s">
        <v>307</v>
      </c>
      <c r="E33" s="1769"/>
      <c r="F33" s="1699" t="s">
        <v>308</v>
      </c>
      <c r="G33" s="1700"/>
    </row>
    <row r="34" spans="1:10" s="222" customFormat="1" ht="13.05" customHeight="1" thickBot="1">
      <c r="A34" s="1720"/>
      <c r="B34" s="1721"/>
      <c r="C34" s="1722"/>
      <c r="D34" s="1706">
        <v>40999</v>
      </c>
      <c r="E34" s="1707"/>
      <c r="F34" s="1697" t="str">
        <f>'Løntabel gældende fra'!$D$1</f>
        <v>01-08-2026</v>
      </c>
      <c r="G34" s="1698"/>
    </row>
    <row r="35" spans="1:10" s="222" customFormat="1" ht="16.05" customHeight="1">
      <c r="A35" s="1848" t="s">
        <v>155</v>
      </c>
      <c r="B35" s="1849"/>
      <c r="C35" s="1850"/>
      <c r="D35" s="1828">
        <f>D29*66%</f>
        <v>97.68</v>
      </c>
      <c r="E35" s="1829"/>
      <c r="F35" s="1828">
        <f>F29*66%</f>
        <v>124.36380000000001</v>
      </c>
      <c r="G35" s="1829"/>
    </row>
    <row r="36" spans="1:10" s="222" customFormat="1" ht="16.05" customHeight="1" thickBot="1">
      <c r="A36" s="1708" t="s">
        <v>156</v>
      </c>
      <c r="B36" s="1709"/>
      <c r="C36" s="1710"/>
      <c r="D36" s="1867">
        <f>D29*74%</f>
        <v>109.52</v>
      </c>
      <c r="E36" s="1868"/>
      <c r="F36" s="1867">
        <f>F29*74%</f>
        <v>139.43819999999999</v>
      </c>
      <c r="G36" s="1868"/>
    </row>
    <row r="37" spans="1:10" ht="15" customHeight="1" thickBot="1">
      <c r="A37" s="241"/>
      <c r="B37" s="240"/>
      <c r="C37" s="240"/>
      <c r="D37" s="240"/>
      <c r="E37" s="240"/>
      <c r="F37" s="240"/>
      <c r="G37" s="232"/>
      <c r="H37" s="231"/>
      <c r="I37" s="231"/>
      <c r="J37" s="222"/>
    </row>
    <row r="38" spans="1:10" ht="19.95" customHeight="1">
      <c r="A38" s="1114" t="s">
        <v>169</v>
      </c>
      <c r="B38" s="1115"/>
      <c r="C38" s="1115"/>
      <c r="D38" s="1115"/>
      <c r="E38" s="1115"/>
      <c r="F38" s="1115"/>
      <c r="G38" s="1115"/>
      <c r="H38" s="1115"/>
      <c r="I38" s="1116"/>
      <c r="J38" s="222"/>
    </row>
    <row r="39" spans="1:10" ht="19.95" customHeight="1" thickBot="1">
      <c r="A39" s="1169" t="s">
        <v>280</v>
      </c>
      <c r="B39" s="1170"/>
      <c r="C39" s="1170"/>
      <c r="D39" s="1170"/>
      <c r="E39" s="1170"/>
      <c r="F39" s="1170"/>
      <c r="G39" s="1170"/>
      <c r="H39" s="1170"/>
      <c r="I39" s="1171"/>
      <c r="J39" s="222"/>
    </row>
    <row r="40" spans="1:10" ht="27" customHeight="1" thickBot="1">
      <c r="A40" s="1846"/>
      <c r="B40" s="1847"/>
      <c r="C40" s="1847"/>
      <c r="D40" s="1847"/>
      <c r="E40" s="1847"/>
      <c r="F40" s="1847"/>
      <c r="G40" s="1847"/>
      <c r="H40" s="569" t="s">
        <v>307</v>
      </c>
      <c r="I40" s="572" t="s">
        <v>308</v>
      </c>
      <c r="J40" s="222"/>
    </row>
    <row r="41" spans="1:10" ht="15" customHeight="1" thickBot="1">
      <c r="A41" s="1794"/>
      <c r="B41" s="1795"/>
      <c r="C41" s="1795"/>
      <c r="D41" s="1795"/>
      <c r="E41" s="1795"/>
      <c r="F41" s="1795"/>
      <c r="G41" s="1796"/>
      <c r="H41" s="519">
        <v>40999</v>
      </c>
      <c r="I41" s="520" t="str">
        <f>'Løntabel gældende fra'!D1</f>
        <v>01-08-2026</v>
      </c>
      <c r="J41" s="222"/>
    </row>
    <row r="42" spans="1:10" ht="15" customHeight="1">
      <c r="A42" s="1797" t="s">
        <v>170</v>
      </c>
      <c r="B42" s="1798"/>
      <c r="C42" s="1798"/>
      <c r="D42" s="1798"/>
      <c r="E42" s="1798"/>
      <c r="F42" s="227"/>
      <c r="G42" s="229" t="s">
        <v>162</v>
      </c>
      <c r="H42" s="291">
        <v>22.32</v>
      </c>
      <c r="I42" s="829">
        <f>ROUND(H42+(H42*'Løntabel gældende fra'!$D$7%),2)</f>
        <v>28.42</v>
      </c>
      <c r="J42" s="222"/>
    </row>
    <row r="43" spans="1:10" ht="15" customHeight="1">
      <c r="A43" s="1805" t="s">
        <v>171</v>
      </c>
      <c r="B43" s="1806"/>
      <c r="C43" s="1806"/>
      <c r="D43" s="1806"/>
      <c r="E43" s="1806"/>
      <c r="F43" s="247"/>
      <c r="G43" s="230" t="s">
        <v>162</v>
      </c>
      <c r="H43" s="293">
        <v>39.92</v>
      </c>
      <c r="I43" s="830">
        <f>ROUND(H43+(H43*'Løntabel gældende fra'!$D$7%),2)</f>
        <v>50.83</v>
      </c>
      <c r="J43" s="222"/>
    </row>
    <row r="44" spans="1:10" ht="25.95" customHeight="1">
      <c r="A44" s="1797" t="s">
        <v>172</v>
      </c>
      <c r="B44" s="1798"/>
      <c r="C44" s="1798"/>
      <c r="D44" s="1798"/>
      <c r="E44" s="1798"/>
      <c r="F44" s="1798"/>
      <c r="G44" s="230" t="s">
        <v>162</v>
      </c>
      <c r="H44" s="293">
        <v>39.92</v>
      </c>
      <c r="I44" s="830">
        <f>ROUND(H44+(H44*'Løntabel gældende fra'!$D$7%),2)</f>
        <v>50.83</v>
      </c>
      <c r="J44" s="222"/>
    </row>
    <row r="45" spans="1:10" ht="15" customHeight="1" thickBot="1">
      <c r="A45" s="260" t="s">
        <v>161</v>
      </c>
      <c r="B45" s="259"/>
      <c r="C45" s="259"/>
      <c r="D45" s="259"/>
      <c r="E45" s="244"/>
      <c r="F45" s="244"/>
      <c r="G45" s="254" t="s">
        <v>162</v>
      </c>
      <c r="H45" s="295">
        <v>39.92</v>
      </c>
      <c r="I45" s="831">
        <f>ROUND(H45+(H45*'Løntabel gældende fra'!$D$7%),2)</f>
        <v>50.83</v>
      </c>
      <c r="J45" s="222"/>
    </row>
    <row r="46" spans="1:10" ht="15" customHeight="1" thickBot="1">
      <c r="A46" s="253"/>
      <c r="B46" s="253"/>
      <c r="C46" s="253"/>
      <c r="D46" s="253"/>
      <c r="E46" s="253"/>
      <c r="F46" s="253"/>
      <c r="G46" s="253"/>
      <c r="H46" s="217"/>
      <c r="I46" s="252"/>
      <c r="J46" s="222"/>
    </row>
    <row r="47" spans="1:10" ht="21" customHeight="1">
      <c r="A47" s="1114" t="s">
        <v>290</v>
      </c>
      <c r="B47" s="1115"/>
      <c r="C47" s="1115"/>
      <c r="D47" s="1115"/>
      <c r="E47" s="1115"/>
      <c r="F47" s="1115"/>
      <c r="G47" s="1115"/>
      <c r="H47" s="1115"/>
      <c r="I47" s="1116"/>
      <c r="J47" s="232"/>
    </row>
    <row r="48" spans="1:10" ht="21" customHeight="1" thickBot="1">
      <c r="A48" s="1169" t="s">
        <v>276</v>
      </c>
      <c r="B48" s="1170"/>
      <c r="C48" s="1170"/>
      <c r="D48" s="1170"/>
      <c r="E48" s="1170"/>
      <c r="F48" s="1170"/>
      <c r="G48" s="1170"/>
      <c r="H48" s="1170"/>
      <c r="I48" s="1171"/>
      <c r="J48" s="232"/>
    </row>
    <row r="49" spans="1:10" ht="27" customHeight="1" thickBot="1">
      <c r="A49" s="1851"/>
      <c r="B49" s="1852"/>
      <c r="C49" s="1852"/>
      <c r="D49" s="1852"/>
      <c r="E49" s="1852"/>
      <c r="F49" s="1852"/>
      <c r="G49" s="1853"/>
      <c r="H49" s="569" t="s">
        <v>307</v>
      </c>
      <c r="I49" s="572" t="s">
        <v>308</v>
      </c>
      <c r="J49" s="232"/>
    </row>
    <row r="50" spans="1:10" ht="15" customHeight="1" thickBot="1">
      <c r="A50" s="1851"/>
      <c r="B50" s="1852"/>
      <c r="C50" s="1852"/>
      <c r="D50" s="1852"/>
      <c r="E50" s="1852"/>
      <c r="F50" s="1852"/>
      <c r="G50" s="1853"/>
      <c r="H50" s="519">
        <v>40999</v>
      </c>
      <c r="I50" s="520" t="str">
        <f>'Løntabel gældende fra'!D1</f>
        <v>01-08-2026</v>
      </c>
      <c r="J50" s="232"/>
    </row>
    <row r="51" spans="1:10" ht="23.4" customHeight="1" thickBot="1">
      <c r="A51" s="1297" t="s">
        <v>174</v>
      </c>
      <c r="B51" s="1298"/>
      <c r="C51" s="1298"/>
      <c r="D51" s="1298"/>
      <c r="E51" s="1298"/>
      <c r="F51" s="521"/>
      <c r="G51" s="522" t="s">
        <v>162</v>
      </c>
      <c r="H51" s="297">
        <v>6.88</v>
      </c>
      <c r="I51" s="290">
        <f>ROUND(H51+(H51*'Løntabel gældende fra'!D7%),2)</f>
        <v>8.76</v>
      </c>
      <c r="J51" s="232"/>
    </row>
    <row r="52" spans="1:10" ht="15" customHeight="1" thickBot="1">
      <c r="A52" s="1863"/>
      <c r="B52" s="1863"/>
      <c r="C52" s="1863"/>
      <c r="D52" s="1863"/>
      <c r="E52" s="1863"/>
      <c r="F52" s="1863"/>
      <c r="G52" s="1863"/>
      <c r="H52" s="1863"/>
      <c r="I52" s="1863"/>
      <c r="J52" s="232"/>
    </row>
    <row r="53" spans="1:10" ht="21" customHeight="1">
      <c r="A53" s="1114" t="s">
        <v>175</v>
      </c>
      <c r="B53" s="1115"/>
      <c r="C53" s="1115"/>
      <c r="D53" s="1115"/>
      <c r="E53" s="1115"/>
      <c r="F53" s="1115"/>
      <c r="G53" s="1115"/>
      <c r="H53" s="1115"/>
      <c r="I53" s="1116"/>
      <c r="J53" s="232"/>
    </row>
    <row r="54" spans="1:10" ht="21" customHeight="1" thickBot="1">
      <c r="A54" s="1169" t="s">
        <v>280</v>
      </c>
      <c r="B54" s="1170"/>
      <c r="C54" s="1170"/>
      <c r="D54" s="1170"/>
      <c r="E54" s="1170"/>
      <c r="F54" s="1170"/>
      <c r="G54" s="1170"/>
      <c r="H54" s="1170"/>
      <c r="I54" s="1171"/>
      <c r="J54" s="232"/>
    </row>
    <row r="55" spans="1:10" ht="30" customHeight="1">
      <c r="A55" s="1857"/>
      <c r="B55" s="1858"/>
      <c r="C55" s="1858"/>
      <c r="D55" s="1858"/>
      <c r="E55" s="1858"/>
      <c r="F55" s="1858"/>
      <c r="G55" s="1859"/>
      <c r="H55" s="569" t="s">
        <v>128</v>
      </c>
      <c r="I55" s="570" t="s">
        <v>306</v>
      </c>
      <c r="J55" s="232"/>
    </row>
    <row r="56" spans="1:10" ht="15" customHeight="1" thickBot="1">
      <c r="A56" s="1860"/>
      <c r="B56" s="1861"/>
      <c r="C56" s="1861"/>
      <c r="D56" s="1861"/>
      <c r="E56" s="1861"/>
      <c r="F56" s="1861"/>
      <c r="G56" s="1862"/>
      <c r="H56" s="519">
        <v>40999</v>
      </c>
      <c r="I56" s="520" t="str">
        <f>'Løntabel gældende fra'!D1</f>
        <v>01-08-2026</v>
      </c>
      <c r="J56" s="232"/>
    </row>
    <row r="57" spans="1:10" ht="15" customHeight="1" thickBot="1">
      <c r="A57" s="1297" t="s">
        <v>187</v>
      </c>
      <c r="B57" s="1298"/>
      <c r="C57" s="1298"/>
      <c r="D57" s="1298"/>
      <c r="E57" s="1298"/>
      <c r="F57" s="521"/>
      <c r="G57" s="522"/>
      <c r="H57" s="297">
        <v>655</v>
      </c>
      <c r="I57" s="290">
        <f>ROUND(H57+(H57*'Løntabel gældende fra'!D7%),2)</f>
        <v>833.95</v>
      </c>
      <c r="J57" s="232"/>
    </row>
    <row r="58" spans="1:10" ht="15" customHeight="1" thickBot="1">
      <c r="A58" s="222"/>
      <c r="B58" s="222"/>
      <c r="C58" s="222"/>
      <c r="D58" s="222"/>
      <c r="E58" s="222"/>
      <c r="F58" s="223"/>
      <c r="G58" s="222"/>
      <c r="H58" s="223"/>
      <c r="I58" s="222"/>
      <c r="J58" s="232"/>
    </row>
    <row r="59" spans="1:10" ht="21" customHeight="1">
      <c r="A59" s="1114" t="s">
        <v>291</v>
      </c>
      <c r="B59" s="1115"/>
      <c r="C59" s="1115"/>
      <c r="D59" s="1115"/>
      <c r="E59" s="1115"/>
      <c r="F59" s="1115"/>
      <c r="G59" s="1115"/>
      <c r="H59" s="1115"/>
      <c r="I59" s="1116"/>
      <c r="J59" s="232"/>
    </row>
    <row r="60" spans="1:10" ht="21" customHeight="1" thickBot="1">
      <c r="A60" s="1169" t="s">
        <v>276</v>
      </c>
      <c r="B60" s="1170"/>
      <c r="C60" s="1170"/>
      <c r="D60" s="1170"/>
      <c r="E60" s="1170"/>
      <c r="F60" s="1170"/>
      <c r="G60" s="1170"/>
      <c r="H60" s="1170"/>
      <c r="I60" s="1171"/>
      <c r="J60" s="232"/>
    </row>
    <row r="61" spans="1:10" ht="15" customHeight="1">
      <c r="A61" s="1854" t="s">
        <v>178</v>
      </c>
      <c r="B61" s="1855"/>
      <c r="C61" s="1855"/>
      <c r="D61" s="1855"/>
      <c r="E61" s="1855"/>
      <c r="F61" s="1855"/>
      <c r="G61" s="1856"/>
      <c r="H61" s="517" t="s">
        <v>95</v>
      </c>
      <c r="I61" s="518" t="s">
        <v>100</v>
      </c>
      <c r="J61" s="232"/>
    </row>
    <row r="62" spans="1:10" ht="15" customHeight="1" thickBot="1">
      <c r="A62" s="1787"/>
      <c r="B62" s="1788"/>
      <c r="C62" s="1788"/>
      <c r="D62" s="1788"/>
      <c r="E62" s="1788"/>
      <c r="F62" s="1788"/>
      <c r="G62" s="1789"/>
      <c r="H62" s="519">
        <v>40999</v>
      </c>
      <c r="I62" s="520" t="str">
        <f>'Løntabel gældende fra'!D1</f>
        <v>01-08-2026</v>
      </c>
      <c r="J62" s="232"/>
    </row>
    <row r="63" spans="1:10" ht="15" customHeight="1" thickBot="1">
      <c r="A63" s="1790" t="s">
        <v>177</v>
      </c>
      <c r="B63" s="1791"/>
      <c r="C63" s="1791"/>
      <c r="D63" s="1791"/>
      <c r="E63" s="1791"/>
      <c r="F63" s="228"/>
      <c r="G63" s="239"/>
      <c r="H63" s="297">
        <v>0</v>
      </c>
      <c r="I63" s="290">
        <v>0</v>
      </c>
      <c r="J63" s="232"/>
    </row>
    <row r="64" spans="1:10" ht="15" customHeight="1" thickBot="1">
      <c r="A64" s="222"/>
      <c r="B64" s="222"/>
      <c r="C64" s="222"/>
      <c r="D64" s="222"/>
      <c r="E64" s="222"/>
      <c r="F64" s="223"/>
      <c r="G64" s="222"/>
      <c r="H64" s="223"/>
      <c r="I64" s="222"/>
      <c r="J64" s="232"/>
    </row>
    <row r="65" spans="1:9" s="232" customFormat="1" ht="17.399999999999999">
      <c r="A65" s="1114" t="s">
        <v>292</v>
      </c>
      <c r="B65" s="1115"/>
      <c r="C65" s="1115"/>
      <c r="D65" s="1115"/>
      <c r="E65" s="1115"/>
      <c r="F65" s="1115"/>
      <c r="G65" s="1115"/>
      <c r="H65" s="1115"/>
      <c r="I65" s="1116"/>
    </row>
    <row r="66" spans="1:9" s="232" customFormat="1" ht="15.6" thickBot="1">
      <c r="A66" s="1169" t="s">
        <v>276</v>
      </c>
      <c r="B66" s="1170"/>
      <c r="C66" s="1170"/>
      <c r="D66" s="1170"/>
      <c r="E66" s="1170"/>
      <c r="F66" s="1170"/>
      <c r="G66" s="1170"/>
      <c r="H66" s="1170"/>
      <c r="I66" s="1171"/>
    </row>
    <row r="67" spans="1:9" s="232" customFormat="1" ht="26.4">
      <c r="A67" s="1294"/>
      <c r="B67" s="1295"/>
      <c r="C67" s="1295"/>
      <c r="D67" s="1295"/>
      <c r="E67" s="1295"/>
      <c r="F67" s="1295"/>
      <c r="G67" s="1296"/>
      <c r="H67" s="569" t="s">
        <v>128</v>
      </c>
      <c r="I67" s="570" t="s">
        <v>306</v>
      </c>
    </row>
    <row r="68" spans="1:9" s="232" customFormat="1" ht="14.4" thickBot="1">
      <c r="A68" s="1854"/>
      <c r="B68" s="1855"/>
      <c r="C68" s="1855"/>
      <c r="D68" s="1855"/>
      <c r="E68" s="1855"/>
      <c r="F68" s="1855"/>
      <c r="G68" s="1856"/>
      <c r="H68" s="519">
        <v>40999</v>
      </c>
      <c r="I68" s="520" t="str">
        <f>'Løntabel gældende fra'!D1</f>
        <v>01-08-2026</v>
      </c>
    </row>
    <row r="69" spans="1:9" s="232" customFormat="1" ht="14.4" thickBot="1">
      <c r="A69" s="1297" t="s">
        <v>181</v>
      </c>
      <c r="B69" s="1298"/>
      <c r="C69" s="1298"/>
      <c r="D69" s="1298"/>
      <c r="E69" s="1298"/>
      <c r="F69" s="521"/>
      <c r="G69" s="522"/>
      <c r="H69" s="297">
        <v>10500</v>
      </c>
      <c r="I69" s="298">
        <f>ROUND(H69+(H69*'Løntabel gældende fra'!D7%),2)</f>
        <v>13368.64</v>
      </c>
    </row>
    <row r="70" spans="1:9" s="258" customFormat="1" ht="13.8">
      <c r="A70" s="255"/>
      <c r="B70" s="255"/>
      <c r="C70" s="255"/>
      <c r="D70" s="255"/>
      <c r="E70" s="255"/>
      <c r="F70" s="243"/>
      <c r="G70" s="243"/>
      <c r="H70" s="256"/>
      <c r="I70" s="257"/>
    </row>
  </sheetData>
  <mergeCells count="72">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A48:I48"/>
    <mergeCell ref="A54:I54"/>
    <mergeCell ref="A40:G41"/>
    <mergeCell ref="A42:E42"/>
    <mergeCell ref="A43:E43"/>
    <mergeCell ref="A44:F44"/>
    <mergeCell ref="A53:I53"/>
    <mergeCell ref="A1:J1"/>
    <mergeCell ref="A2:J2"/>
    <mergeCell ref="A3:J3"/>
    <mergeCell ref="G8:J8"/>
    <mergeCell ref="A8:F8"/>
    <mergeCell ref="A5:J6"/>
    <mergeCell ref="A4:J4"/>
    <mergeCell ref="A29:C29"/>
    <mergeCell ref="D29:E29"/>
    <mergeCell ref="F29:G29"/>
    <mergeCell ref="A25:G25"/>
    <mergeCell ref="A27:C28"/>
    <mergeCell ref="D27:E27"/>
    <mergeCell ref="F27:G27"/>
    <mergeCell ref="D28:E28"/>
    <mergeCell ref="F28:G28"/>
    <mergeCell ref="A26:G26"/>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s>
  <phoneticPr fontId="7" type="noConversion"/>
  <pageMargins left="0.59" right="0.59" top="0.75" bottom="0.75" header="0.31" footer="0.31"/>
  <pageSetup paperSize="9" scale="53"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Thomas Sørensen</cp:lastModifiedBy>
  <cp:lastPrinted>2026-06-11T10:29:15Z</cp:lastPrinted>
  <dcterms:created xsi:type="dcterms:W3CDTF">2014-05-07T09:31:49Z</dcterms:created>
  <dcterms:modified xsi:type="dcterms:W3CDTF">2026-06-12T11:54:09Z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